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d.docs.live.net/c321002d66e5d5ee/CLAUDE/LIQUIDADORES INTERESES/"/>
    </mc:Choice>
  </mc:AlternateContent>
  <xr:revisionPtr revIDLastSave="0" documentId="8_{A76E4BB9-860F-4049-8E81-04C8C928223D}" xr6:coauthVersionLast="47" xr6:coauthVersionMax="47" xr10:uidLastSave="{00000000-0000-0000-0000-000000000000}"/>
  <bookViews>
    <workbookView xWindow="0" yWindow="660" windowWidth="30240" windowHeight="17920" activeTab="6" xr2:uid="{00000000-000D-0000-FFFF-FFFF00000000}"/>
  </bookViews>
  <sheets>
    <sheet name="MENÚ" sheetId="1" r:id="rId1"/>
    <sheet name="Datos" sheetId="2" state="hidden" r:id="rId2"/>
    <sheet name="1. Extemporaneidad" sheetId="3" r:id="rId3"/>
    <sheet name="2. Corrección" sheetId="4" r:id="rId4"/>
    <sheet name="3. Evasión pasiva" sheetId="5" r:id="rId5"/>
    <sheet name="4. Info. exógena" sheetId="6" r:id="rId6"/>
    <sheet name="5. Intereses" sheetId="7" r:id="rId7"/>
    <sheet name="Tasas" sheetId="8" r:id="rId8"/>
  </sheets>
  <definedNames>
    <definedName name="_xlnm.Print_Area" localSheetId="2">'1. Extemporaneidad'!$A$1:$G$54</definedName>
    <definedName name="_xlnm.Print_Area" localSheetId="3">'2. Corrección'!$A$1:$G$57</definedName>
    <definedName name="_xlnm.Print_Area" localSheetId="4">'3. Evasión pasiva'!$A$1:$F$28</definedName>
    <definedName name="_xlnm.Print_Area" localSheetId="5">'4. Info. exógena'!$A$1:$G$84</definedName>
    <definedName name="_xlnm.Print_Area" localSheetId="6">'5. Intereses'!$A$1:$J$56</definedName>
    <definedName name="_xlnm.Print_Area" localSheetId="0">MENÚ!$A$1:$D$70</definedName>
    <definedName name="_xlnm.Print_Area" localSheetId="7">Tasas!$A$1:$F$170</definedName>
    <definedName name="_xlnm.Print_Titles" localSheetId="2">'1. Extemporaneidad'!$1:$2</definedName>
    <definedName name="_xlnm.Print_Titles" localSheetId="3">'2. Corrección'!$1:$2</definedName>
    <definedName name="_xlnm.Print_Titles" localSheetId="4">'3. Evasión pasiva'!$1:$2</definedName>
    <definedName name="_xlnm.Print_Titles" localSheetId="5">'4. Info. exógena'!$1:$2</definedName>
    <definedName name="_xlnm.Print_Titles" localSheetId="6">'5. Intereses'!$1:$2</definedName>
    <definedName name="_xlnm.Print_Titles" localSheetId="0">MENÚ!$1:$2</definedName>
    <definedName name="_xlnm.Print_Titles" localSheetId="7">Tasas!$1:$2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7" l="1"/>
  <c r="C56" i="7"/>
  <c r="E56" i="7" s="1"/>
  <c r="C55" i="7"/>
  <c r="E55" i="7" s="1"/>
  <c r="C54" i="7"/>
  <c r="C53" i="7"/>
  <c r="E53" i="7" s="1"/>
  <c r="E52" i="7"/>
  <c r="C52" i="7"/>
  <c r="D52" i="7" s="1"/>
  <c r="E51" i="7"/>
  <c r="C51" i="7"/>
  <c r="D51" i="7" s="1"/>
  <c r="E50" i="7"/>
  <c r="C50" i="7"/>
  <c r="D50" i="7" s="1"/>
  <c r="D49" i="7"/>
  <c r="C49" i="7"/>
  <c r="E49" i="7" s="1"/>
  <c r="D48" i="7"/>
  <c r="C48" i="7"/>
  <c r="E48" i="7" s="1"/>
  <c r="E47" i="7"/>
  <c r="D47" i="7"/>
  <c r="C47" i="7"/>
  <c r="E46" i="7"/>
  <c r="C46" i="7"/>
  <c r="D46" i="7" s="1"/>
  <c r="C45" i="7"/>
  <c r="D45" i="7" s="1"/>
  <c r="C44" i="7"/>
  <c r="E44" i="7" s="1"/>
  <c r="E43" i="7"/>
  <c r="D43" i="7"/>
  <c r="C43" i="7"/>
  <c r="E42" i="7"/>
  <c r="D42" i="7"/>
  <c r="C42" i="7"/>
  <c r="C41" i="7"/>
  <c r="D41" i="7" s="1"/>
  <c r="C30" i="7"/>
  <c r="D29" i="7"/>
  <c r="D27" i="7"/>
  <c r="C27" i="7"/>
  <c r="E21" i="7"/>
  <c r="C28" i="7" s="1"/>
  <c r="E20" i="7"/>
  <c r="E19" i="7"/>
  <c r="E18" i="7"/>
  <c r="N10" i="7"/>
  <c r="N11" i="7" s="1"/>
  <c r="E22" i="7" s="1"/>
  <c r="D28" i="7" s="1"/>
  <c r="N9" i="7"/>
  <c r="N8" i="7"/>
  <c r="G72" i="6"/>
  <c r="G58" i="6"/>
  <c r="G55" i="6"/>
  <c r="G52" i="6"/>
  <c r="G23" i="6"/>
  <c r="G21" i="6"/>
  <c r="G20" i="6"/>
  <c r="G19" i="6"/>
  <c r="G18" i="6"/>
  <c r="G17" i="6"/>
  <c r="G16" i="6"/>
  <c r="E11" i="6"/>
  <c r="G24" i="6" s="1"/>
  <c r="E9" i="6"/>
  <c r="G39" i="6" s="1"/>
  <c r="E19" i="5"/>
  <c r="E21" i="5" s="1"/>
  <c r="E18" i="5"/>
  <c r="E37" i="4"/>
  <c r="E36" i="4"/>
  <c r="E35" i="4"/>
  <c r="E21" i="4"/>
  <c r="H12" i="4" s="1"/>
  <c r="E42" i="4" s="1"/>
  <c r="H16" i="4"/>
  <c r="H15" i="4"/>
  <c r="H14" i="4"/>
  <c r="E49" i="4" s="1"/>
  <c r="H13" i="4"/>
  <c r="E31" i="4" s="1"/>
  <c r="H10" i="4"/>
  <c r="H11" i="4" s="1"/>
  <c r="E40" i="4" s="1"/>
  <c r="H7" i="4"/>
  <c r="D30" i="4" s="1"/>
  <c r="D44" i="3"/>
  <c r="E30" i="3"/>
  <c r="D29" i="3"/>
  <c r="E20" i="3"/>
  <c r="H16" i="3"/>
  <c r="H14" i="3"/>
  <c r="H13" i="3"/>
  <c r="H12" i="3"/>
  <c r="H15" i="3" s="1"/>
  <c r="B12" i="3"/>
  <c r="H11" i="3"/>
  <c r="E38" i="3" s="1"/>
  <c r="H10" i="3"/>
  <c r="E32" i="3" s="1"/>
  <c r="H9" i="3"/>
  <c r="H8" i="3"/>
  <c r="H7" i="3"/>
  <c r="F14" i="3" s="1"/>
  <c r="H6" i="3"/>
  <c r="E39" i="3" s="1"/>
  <c r="H5" i="3"/>
  <c r="E34" i="3" s="1"/>
  <c r="G25" i="6" l="1"/>
  <c r="G40" i="6"/>
  <c r="E46" i="3"/>
  <c r="F13" i="3"/>
  <c r="D31" i="3"/>
  <c r="D33" i="3" s="1"/>
  <c r="E37" i="3" s="1"/>
  <c r="G41" i="6"/>
  <c r="H9" i="4"/>
  <c r="E34" i="4" s="1"/>
  <c r="G32" i="6"/>
  <c r="F15" i="3"/>
  <c r="D47" i="4"/>
  <c r="G33" i="6"/>
  <c r="G38" i="6"/>
  <c r="H8" i="4"/>
  <c r="C8" i="3"/>
  <c r="G34" i="6"/>
  <c r="G35" i="6"/>
  <c r="D30" i="7"/>
  <c r="D32" i="7" s="1"/>
  <c r="C29" i="7"/>
  <c r="C32" i="7"/>
  <c r="G36" i="6"/>
  <c r="E54" i="7"/>
  <c r="D54" i="7"/>
  <c r="G22" i="6"/>
  <c r="G26" i="6" s="1"/>
  <c r="G37" i="6"/>
  <c r="D44" i="7"/>
  <c r="E41" i="7"/>
  <c r="E45" i="7"/>
  <c r="D62" i="7"/>
  <c r="C63" i="7" s="1"/>
  <c r="E62" i="7"/>
  <c r="F62" i="7"/>
  <c r="D55" i="7"/>
  <c r="G62" i="7"/>
  <c r="H62" i="7"/>
  <c r="I62" i="7"/>
  <c r="D56" i="7"/>
  <c r="J62" i="7"/>
  <c r="D53" i="7"/>
  <c r="B62" i="7"/>
  <c r="B63" i="7" l="1"/>
  <c r="J63" i="7"/>
  <c r="I63" i="7"/>
  <c r="H63" i="7"/>
  <c r="G63" i="7"/>
  <c r="F63" i="7"/>
  <c r="E63" i="7"/>
  <c r="D63" i="7"/>
  <c r="C64" i="7" s="1"/>
  <c r="E48" i="3"/>
  <c r="E41" i="3"/>
  <c r="E51" i="4"/>
  <c r="E32" i="4"/>
  <c r="E44" i="4"/>
  <c r="E39" i="4"/>
  <c r="E41" i="4" s="1"/>
  <c r="G42" i="6"/>
  <c r="C34" i="7"/>
  <c r="G46" i="6"/>
  <c r="G47" i="6" s="1"/>
  <c r="G60" i="6" s="1"/>
  <c r="G73" i="6" s="1"/>
  <c r="G77" i="6" s="1"/>
  <c r="D64" i="7" l="1"/>
  <c r="C65" i="7"/>
  <c r="B64" i="7"/>
  <c r="J64" i="7"/>
  <c r="I64" i="7"/>
  <c r="H64" i="7"/>
  <c r="G64" i="7"/>
  <c r="F64" i="7"/>
  <c r="E64" i="7"/>
  <c r="E65" i="7" l="1"/>
  <c r="D65" i="7"/>
  <c r="C66" i="7"/>
  <c r="B65" i="7"/>
  <c r="J65" i="7"/>
  <c r="I65" i="7"/>
  <c r="H65" i="7"/>
  <c r="G65" i="7"/>
  <c r="F65" i="7"/>
  <c r="F66" i="7" l="1"/>
  <c r="E66" i="7"/>
  <c r="D66" i="7"/>
  <c r="C67" i="7"/>
  <c r="B66" i="7"/>
  <c r="J66" i="7"/>
  <c r="I66" i="7"/>
  <c r="H66" i="7"/>
  <c r="G66" i="7"/>
  <c r="G67" i="7" l="1"/>
  <c r="F67" i="7"/>
  <c r="E67" i="7"/>
  <c r="D67" i="7"/>
  <c r="C68" i="7"/>
  <c r="B67" i="7"/>
  <c r="J67" i="7"/>
  <c r="I67" i="7"/>
  <c r="H67" i="7"/>
  <c r="H68" i="7" l="1"/>
  <c r="G68" i="7"/>
  <c r="F68" i="7"/>
  <c r="E68" i="7"/>
  <c r="D68" i="7"/>
  <c r="C69" i="7"/>
  <c r="B68" i="7"/>
  <c r="J68" i="7"/>
  <c r="I68" i="7"/>
  <c r="I69" i="7" l="1"/>
  <c r="H69" i="7"/>
  <c r="G69" i="7"/>
  <c r="F69" i="7"/>
  <c r="E69" i="7"/>
  <c r="D69" i="7"/>
  <c r="C70" i="7" s="1"/>
  <c r="B69" i="7"/>
  <c r="J69" i="7"/>
  <c r="J70" i="7" l="1"/>
  <c r="I70" i="7"/>
  <c r="H70" i="7"/>
  <c r="G70" i="7"/>
  <c r="F70" i="7"/>
  <c r="E70" i="7"/>
  <c r="D70" i="7"/>
  <c r="C71" i="7"/>
  <c r="B70" i="7"/>
  <c r="J71" i="7" l="1"/>
  <c r="I71" i="7"/>
  <c r="H71" i="7"/>
  <c r="G71" i="7"/>
  <c r="F71" i="7"/>
  <c r="E71" i="7"/>
  <c r="D71" i="7"/>
  <c r="C72" i="7"/>
  <c r="B71" i="7"/>
  <c r="B72" i="7" l="1"/>
  <c r="J72" i="7"/>
  <c r="I72" i="7"/>
  <c r="H72" i="7"/>
  <c r="G72" i="7"/>
  <c r="F72" i="7"/>
  <c r="E72" i="7"/>
  <c r="D72" i="7"/>
  <c r="C73" i="7" s="1"/>
  <c r="B73" i="7" l="1"/>
  <c r="J73" i="7"/>
  <c r="I73" i="7"/>
  <c r="H73" i="7"/>
  <c r="G73" i="7"/>
  <c r="F73" i="7"/>
  <c r="E73" i="7"/>
  <c r="D73" i="7"/>
  <c r="C74" i="7" s="1"/>
  <c r="D74" i="7" l="1"/>
  <c r="C75" i="7"/>
  <c r="B74" i="7"/>
  <c r="J74" i="7"/>
  <c r="I74" i="7"/>
  <c r="H74" i="7"/>
  <c r="G74" i="7"/>
  <c r="F74" i="7"/>
  <c r="E74" i="7"/>
  <c r="E75" i="7" l="1"/>
  <c r="D75" i="7"/>
  <c r="C76" i="7"/>
  <c r="B75" i="7"/>
  <c r="J75" i="7"/>
  <c r="I75" i="7"/>
  <c r="H75" i="7"/>
  <c r="G75" i="7"/>
  <c r="F75" i="7"/>
  <c r="F76" i="7" l="1"/>
  <c r="E76" i="7"/>
  <c r="D76" i="7"/>
  <c r="C77" i="7" s="1"/>
  <c r="B76" i="7"/>
  <c r="J76" i="7"/>
  <c r="I76" i="7"/>
  <c r="H76" i="7"/>
  <c r="G76" i="7"/>
  <c r="G77" i="7" l="1"/>
  <c r="F77" i="7"/>
  <c r="E77" i="7"/>
  <c r="D77" i="7"/>
  <c r="C78" i="7" s="1"/>
  <c r="B77" i="7"/>
  <c r="J77" i="7"/>
  <c r="I77" i="7"/>
  <c r="H77" i="7"/>
  <c r="H78" i="7" l="1"/>
  <c r="G78" i="7"/>
  <c r="F78" i="7"/>
  <c r="E78" i="7"/>
  <c r="D78" i="7"/>
  <c r="C79" i="7"/>
  <c r="B78" i="7"/>
  <c r="J78" i="7"/>
  <c r="I78" i="7"/>
  <c r="I79" i="7" l="1"/>
  <c r="H79" i="7"/>
  <c r="G79" i="7"/>
  <c r="F79" i="7"/>
  <c r="E79" i="7"/>
  <c r="D79" i="7"/>
  <c r="C80" i="7" s="1"/>
  <c r="B79" i="7"/>
  <c r="J79" i="7"/>
  <c r="J80" i="7" l="1"/>
  <c r="I80" i="7"/>
  <c r="H80" i="7"/>
  <c r="G80" i="7"/>
  <c r="F80" i="7"/>
  <c r="E80" i="7"/>
  <c r="D80" i="7"/>
  <c r="C81" i="7"/>
  <c r="B80" i="7"/>
  <c r="J81" i="7" l="1"/>
  <c r="I81" i="7"/>
  <c r="H81" i="7"/>
  <c r="G81" i="7"/>
  <c r="F81" i="7"/>
  <c r="E81" i="7"/>
  <c r="D81" i="7"/>
  <c r="C82" i="7"/>
  <c r="B81" i="7"/>
  <c r="B82" i="7" l="1"/>
  <c r="J82" i="7"/>
  <c r="I82" i="7"/>
  <c r="H82" i="7"/>
  <c r="G82" i="7"/>
  <c r="F82" i="7"/>
  <c r="E82" i="7"/>
  <c r="D82" i="7"/>
  <c r="C83" i="7" s="1"/>
  <c r="B83" i="7" l="1"/>
  <c r="J83" i="7"/>
  <c r="I83" i="7"/>
  <c r="H83" i="7"/>
  <c r="G83" i="7"/>
  <c r="F83" i="7"/>
  <c r="E83" i="7"/>
  <c r="D83" i="7"/>
  <c r="C84" i="7" s="1"/>
  <c r="D84" i="7" l="1"/>
  <c r="C85" i="7"/>
  <c r="B84" i="7"/>
  <c r="J84" i="7"/>
  <c r="I84" i="7"/>
  <c r="H84" i="7"/>
  <c r="G84" i="7"/>
  <c r="F84" i="7"/>
  <c r="E84" i="7"/>
  <c r="E85" i="7" l="1"/>
  <c r="D85" i="7"/>
  <c r="G85" i="7"/>
  <c r="F85" i="7"/>
  <c r="B85" i="7"/>
  <c r="C86" i="7"/>
  <c r="J85" i="7"/>
  <c r="I85" i="7"/>
  <c r="H85" i="7"/>
  <c r="F86" i="7" l="1"/>
  <c r="E86" i="7"/>
  <c r="J86" i="7"/>
  <c r="I86" i="7"/>
  <c r="H86" i="7"/>
  <c r="G86" i="7"/>
  <c r="D86" i="7"/>
  <c r="B86" i="7"/>
  <c r="C87" i="7"/>
  <c r="G87" i="7" l="1"/>
  <c r="F87" i="7"/>
  <c r="J87" i="7"/>
  <c r="I87" i="7"/>
  <c r="H87" i="7"/>
  <c r="E87" i="7"/>
  <c r="D87" i="7"/>
  <c r="C88" i="7" s="1"/>
  <c r="B87" i="7"/>
  <c r="H88" i="7" l="1"/>
  <c r="G88" i="7"/>
  <c r="D88" i="7"/>
  <c r="B88" i="7"/>
  <c r="C89" i="7"/>
  <c r="J88" i="7"/>
  <c r="I88" i="7"/>
  <c r="F88" i="7"/>
  <c r="E88" i="7"/>
  <c r="I89" i="7" l="1"/>
  <c r="H89" i="7"/>
  <c r="G89" i="7"/>
  <c r="F89" i="7"/>
  <c r="E89" i="7"/>
  <c r="D89" i="7"/>
  <c r="B89" i="7"/>
  <c r="C90" i="7"/>
  <c r="J89" i="7"/>
  <c r="J90" i="7" l="1"/>
  <c r="I90" i="7"/>
  <c r="H90" i="7"/>
  <c r="G90" i="7"/>
  <c r="F90" i="7"/>
  <c r="E90" i="7"/>
  <c r="D90" i="7"/>
  <c r="C91" i="7" s="1"/>
  <c r="B90" i="7"/>
  <c r="J91" i="7" l="1"/>
  <c r="I91" i="7"/>
  <c r="D91" i="7"/>
  <c r="B91" i="7"/>
  <c r="C92" i="7"/>
  <c r="H91" i="7"/>
  <c r="G91" i="7"/>
  <c r="F91" i="7"/>
  <c r="E91" i="7"/>
  <c r="B92" i="7" l="1"/>
  <c r="J92" i="7"/>
  <c r="H92" i="7"/>
  <c r="G92" i="7"/>
  <c r="F92" i="7"/>
  <c r="E92" i="7"/>
  <c r="D92" i="7"/>
  <c r="C93" i="7" s="1"/>
  <c r="I92" i="7"/>
  <c r="B93" i="7" l="1"/>
  <c r="J93" i="7"/>
  <c r="I93" i="7"/>
  <c r="H93" i="7"/>
  <c r="G93" i="7"/>
  <c r="F93" i="7"/>
  <c r="E93" i="7"/>
  <c r="D93" i="7"/>
  <c r="C94" i="7" s="1"/>
  <c r="D94" i="7" l="1"/>
  <c r="C95" i="7"/>
  <c r="B94" i="7"/>
  <c r="F94" i="7"/>
  <c r="E94" i="7"/>
  <c r="J94" i="7"/>
  <c r="I94" i="7"/>
  <c r="H94" i="7"/>
  <c r="G94" i="7"/>
  <c r="E95" i="7" l="1"/>
  <c r="D95" i="7"/>
  <c r="J95" i="7"/>
  <c r="I95" i="7"/>
  <c r="H95" i="7"/>
  <c r="G95" i="7"/>
  <c r="F95" i="7"/>
  <c r="B95" i="7"/>
  <c r="C96" i="7"/>
  <c r="F96" i="7" l="1"/>
  <c r="E96" i="7"/>
  <c r="D96" i="7"/>
  <c r="C97" i="7"/>
  <c r="J96" i="7"/>
  <c r="I96" i="7"/>
  <c r="H96" i="7"/>
  <c r="G96" i="7"/>
  <c r="B96" i="7"/>
  <c r="G97" i="7" l="1"/>
  <c r="F97" i="7"/>
  <c r="E97" i="7"/>
  <c r="H97" i="7"/>
  <c r="D97" i="7"/>
  <c r="B97" i="7"/>
  <c r="C98" i="7"/>
  <c r="J97" i="7"/>
  <c r="I97" i="7"/>
  <c r="H98" i="7" l="1"/>
  <c r="G98" i="7"/>
  <c r="F98" i="7"/>
  <c r="J98" i="7"/>
  <c r="I98" i="7"/>
  <c r="E98" i="7"/>
  <c r="D98" i="7"/>
  <c r="C99" i="7" s="1"/>
  <c r="B98" i="7"/>
  <c r="I99" i="7" l="1"/>
  <c r="H99" i="7"/>
  <c r="G99" i="7"/>
  <c r="B99" i="7"/>
  <c r="J99" i="7"/>
  <c r="F99" i="7"/>
  <c r="E99" i="7"/>
  <c r="D99" i="7"/>
  <c r="C100" i="7" s="1"/>
  <c r="J100" i="7" l="1"/>
  <c r="I100" i="7"/>
  <c r="H100" i="7"/>
  <c r="G100" i="7"/>
  <c r="F100" i="7"/>
  <c r="E100" i="7"/>
  <c r="D100" i="7"/>
  <c r="B100" i="7"/>
  <c r="C101" i="7"/>
  <c r="J101" i="7" l="1"/>
  <c r="I101" i="7"/>
  <c r="H101" i="7"/>
  <c r="G101" i="7"/>
  <c r="F101" i="7"/>
  <c r="E101" i="7"/>
  <c r="D101" i="7"/>
  <c r="C102" i="7" s="1"/>
  <c r="B101" i="7"/>
  <c r="B102" i="7" l="1"/>
  <c r="J102" i="7"/>
  <c r="E102" i="7"/>
  <c r="D102" i="7"/>
  <c r="C103" i="7" s="1"/>
  <c r="I102" i="7"/>
  <c r="H102" i="7"/>
  <c r="G102" i="7"/>
  <c r="F102" i="7"/>
  <c r="B103" i="7" l="1"/>
  <c r="I103" i="7"/>
  <c r="H103" i="7"/>
  <c r="G103" i="7"/>
  <c r="F103" i="7"/>
  <c r="E103" i="7"/>
  <c r="D103" i="7"/>
  <c r="C104" i="7" s="1"/>
  <c r="J103" i="7"/>
  <c r="D104" i="7" l="1"/>
  <c r="C105" i="7"/>
  <c r="B104" i="7"/>
  <c r="J104" i="7"/>
  <c r="I104" i="7"/>
  <c r="H104" i="7"/>
  <c r="G104" i="7"/>
  <c r="F104" i="7"/>
  <c r="E104" i="7"/>
  <c r="E105" i="7" l="1"/>
  <c r="D105" i="7"/>
  <c r="G105" i="7"/>
  <c r="F105" i="7"/>
  <c r="B105" i="7"/>
  <c r="C106" i="7"/>
  <c r="J105" i="7"/>
  <c r="I105" i="7"/>
  <c r="H105" i="7"/>
  <c r="F106" i="7" l="1"/>
  <c r="E106" i="7"/>
  <c r="D106" i="7"/>
  <c r="J106" i="7"/>
  <c r="I106" i="7"/>
  <c r="H106" i="7"/>
  <c r="G106" i="7"/>
  <c r="B106" i="7"/>
  <c r="C107" i="7"/>
  <c r="G107" i="7" l="1"/>
  <c r="F107" i="7"/>
  <c r="E107" i="7"/>
  <c r="B107" i="7"/>
  <c r="J107" i="7"/>
  <c r="I107" i="7"/>
  <c r="H107" i="7"/>
  <c r="D107" i="7"/>
  <c r="C108" i="7" s="1"/>
  <c r="H108" i="7" l="1"/>
  <c r="G108" i="7"/>
  <c r="F108" i="7"/>
  <c r="I108" i="7"/>
  <c r="E108" i="7"/>
  <c r="D108" i="7"/>
  <c r="B108" i="7"/>
  <c r="C109" i="7"/>
  <c r="J108" i="7"/>
  <c r="I109" i="7" l="1"/>
  <c r="H109" i="7"/>
  <c r="G109" i="7"/>
  <c r="J109" i="7"/>
  <c r="F109" i="7"/>
  <c r="E109" i="7"/>
  <c r="D109" i="7"/>
  <c r="C110" i="7" s="1"/>
  <c r="B109" i="7"/>
  <c r="J110" i="7" l="1"/>
  <c r="I110" i="7"/>
  <c r="H110" i="7"/>
  <c r="D110" i="7"/>
  <c r="B110" i="7"/>
  <c r="C111" i="7"/>
  <c r="G110" i="7"/>
  <c r="F110" i="7"/>
  <c r="E110" i="7"/>
  <c r="J111" i="7" l="1"/>
  <c r="I111" i="7"/>
  <c r="H111" i="7"/>
  <c r="G111" i="7"/>
  <c r="F111" i="7"/>
  <c r="E111" i="7"/>
  <c r="D111" i="7"/>
  <c r="B111" i="7"/>
  <c r="C112" i="7"/>
  <c r="B112" i="7" l="1"/>
  <c r="J112" i="7"/>
  <c r="I112" i="7"/>
  <c r="H112" i="7"/>
  <c r="G112" i="7"/>
  <c r="F112" i="7"/>
  <c r="E112" i="7"/>
  <c r="D112" i="7"/>
  <c r="C113" i="7" s="1"/>
  <c r="B113" i="7" l="1"/>
  <c r="F113" i="7"/>
  <c r="E113" i="7"/>
  <c r="D113" i="7"/>
  <c r="C114" i="7" s="1"/>
  <c r="J113" i="7"/>
  <c r="I113" i="7"/>
  <c r="H113" i="7"/>
  <c r="G113" i="7"/>
  <c r="D114" i="7" l="1"/>
  <c r="C115" i="7"/>
  <c r="B114" i="7"/>
  <c r="J114" i="7"/>
  <c r="I114" i="7"/>
  <c r="H114" i="7"/>
  <c r="G114" i="7"/>
  <c r="F114" i="7"/>
  <c r="E114" i="7"/>
  <c r="E115" i="7" l="1"/>
  <c r="D115" i="7"/>
  <c r="C116" i="7"/>
  <c r="J115" i="7"/>
  <c r="I115" i="7"/>
  <c r="H115" i="7"/>
  <c r="G115" i="7"/>
  <c r="F115" i="7"/>
  <c r="B115" i="7"/>
  <c r="F116" i="7" l="1"/>
  <c r="E116" i="7"/>
  <c r="D116" i="7"/>
  <c r="H116" i="7"/>
  <c r="G116" i="7"/>
  <c r="B116" i="7"/>
  <c r="C117" i="7"/>
  <c r="J116" i="7"/>
  <c r="I116" i="7"/>
  <c r="G117" i="7" l="1"/>
  <c r="F117" i="7"/>
  <c r="E117" i="7"/>
  <c r="J117" i="7"/>
  <c r="I117" i="7"/>
  <c r="H117" i="7"/>
  <c r="D117" i="7"/>
  <c r="C118" i="7" s="1"/>
  <c r="B117" i="7"/>
  <c r="B118" i="7" l="1"/>
  <c r="J118" i="7"/>
  <c r="I118" i="7"/>
  <c r="H118" i="7"/>
  <c r="G118" i="7"/>
  <c r="D118" i="7"/>
  <c r="C119" i="7" s="1"/>
  <c r="F118" i="7"/>
  <c r="E118" i="7"/>
  <c r="F119" i="7" l="1"/>
  <c r="J119" i="7"/>
  <c r="I119" i="7"/>
  <c r="H119" i="7"/>
  <c r="G119" i="7"/>
  <c r="E119" i="7"/>
  <c r="D119" i="7"/>
  <c r="C120" i="7" s="1"/>
  <c r="B119" i="7"/>
  <c r="G120" i="7" l="1"/>
  <c r="D120" i="7"/>
  <c r="C121" i="7"/>
  <c r="B120" i="7"/>
  <c r="F120" i="7"/>
  <c r="E120" i="7"/>
  <c r="H120" i="7"/>
  <c r="J120" i="7"/>
  <c r="I120" i="7"/>
  <c r="H121" i="7" l="1"/>
  <c r="E121" i="7"/>
  <c r="J121" i="7"/>
  <c r="I121" i="7"/>
  <c r="G121" i="7"/>
  <c r="F121" i="7"/>
  <c r="D121" i="7"/>
  <c r="C122" i="7" s="1"/>
  <c r="B121" i="7"/>
  <c r="I122" i="7" l="1"/>
  <c r="F122" i="7"/>
  <c r="D122" i="7"/>
  <c r="B122" i="7"/>
  <c r="H122" i="7"/>
  <c r="G122" i="7"/>
  <c r="E122" i="7"/>
  <c r="C123" i="7"/>
  <c r="J122" i="7"/>
  <c r="J123" i="7" l="1"/>
  <c r="G123" i="7"/>
  <c r="E123" i="7"/>
  <c r="H123" i="7"/>
  <c r="F123" i="7"/>
  <c r="D123" i="7"/>
  <c r="C124" i="7"/>
  <c r="I123" i="7"/>
  <c r="B123" i="7"/>
  <c r="H124" i="7" l="1"/>
  <c r="F124" i="7"/>
  <c r="J124" i="7"/>
  <c r="I124" i="7"/>
  <c r="G124" i="7"/>
  <c r="E124" i="7"/>
  <c r="D124" i="7"/>
  <c r="C125" i="7" s="1"/>
  <c r="B124" i="7"/>
  <c r="B125" i="7" l="1"/>
  <c r="I125" i="7"/>
  <c r="G125" i="7"/>
  <c r="D125" i="7"/>
  <c r="C126" i="7" s="1"/>
  <c r="J125" i="7"/>
  <c r="H125" i="7"/>
  <c r="F125" i="7"/>
  <c r="E125" i="7"/>
  <c r="J126" i="7" l="1"/>
  <c r="H126" i="7"/>
  <c r="I126" i="7"/>
  <c r="G126" i="7"/>
  <c r="F126" i="7"/>
  <c r="E126" i="7"/>
  <c r="D126" i="7"/>
  <c r="C127" i="7" s="1"/>
  <c r="B126" i="7"/>
  <c r="D127" i="7" l="1"/>
  <c r="I127" i="7"/>
  <c r="C128" i="7"/>
  <c r="E127" i="7"/>
  <c r="B127" i="7"/>
  <c r="J127" i="7"/>
  <c r="H127" i="7"/>
  <c r="G127" i="7"/>
  <c r="F127" i="7"/>
  <c r="E128" i="7" l="1"/>
  <c r="B128" i="7"/>
  <c r="J128" i="7"/>
  <c r="F128" i="7"/>
  <c r="D128" i="7"/>
  <c r="C129" i="7" s="1"/>
  <c r="I128" i="7"/>
  <c r="H128" i="7"/>
  <c r="G128" i="7"/>
  <c r="F129" i="7" l="1"/>
  <c r="J129" i="7"/>
  <c r="I129" i="7"/>
  <c r="H129" i="7"/>
  <c r="E129" i="7"/>
  <c r="D129" i="7"/>
  <c r="B129" i="7"/>
  <c r="C130" i="7"/>
  <c r="G129" i="7"/>
  <c r="G130" i="7" l="1"/>
  <c r="D130" i="7"/>
  <c r="C131" i="7"/>
  <c r="B130" i="7"/>
  <c r="J130" i="7"/>
  <c r="I130" i="7"/>
  <c r="H130" i="7"/>
  <c r="F130" i="7"/>
  <c r="E130" i="7"/>
  <c r="H131" i="7" l="1"/>
  <c r="E131" i="7"/>
  <c r="G131" i="7"/>
  <c r="F131" i="7"/>
  <c r="D131" i="7"/>
  <c r="J131" i="7"/>
  <c r="I131" i="7"/>
  <c r="B131" i="7"/>
  <c r="C132" i="7"/>
  <c r="I132" i="7" l="1"/>
  <c r="F132" i="7"/>
  <c r="D132" i="7"/>
  <c r="C133" i="7"/>
  <c r="J132" i="7"/>
  <c r="H132" i="7"/>
  <c r="G132" i="7"/>
  <c r="E132" i="7"/>
  <c r="B132" i="7"/>
  <c r="J133" i="7" l="1"/>
  <c r="G133" i="7"/>
  <c r="E133" i="7"/>
  <c r="B133" i="7"/>
  <c r="I133" i="7"/>
  <c r="H133" i="7"/>
  <c r="F133" i="7"/>
  <c r="D133" i="7"/>
  <c r="C134" i="7" s="1"/>
  <c r="H134" i="7" l="1"/>
  <c r="F134" i="7"/>
  <c r="I134" i="7"/>
  <c r="G134" i="7"/>
  <c r="E134" i="7"/>
  <c r="B134" i="7"/>
  <c r="J134" i="7"/>
  <c r="D134" i="7"/>
  <c r="C135" i="7" s="1"/>
  <c r="B135" i="7" l="1"/>
  <c r="I135" i="7"/>
  <c r="G135" i="7"/>
  <c r="J135" i="7"/>
  <c r="H135" i="7"/>
  <c r="F135" i="7"/>
  <c r="E135" i="7"/>
  <c r="D135" i="7"/>
  <c r="C136" i="7" s="1"/>
  <c r="J136" i="7" l="1"/>
  <c r="H136" i="7"/>
  <c r="E136" i="7"/>
  <c r="D136" i="7"/>
  <c r="B136" i="7"/>
  <c r="F136" i="7"/>
  <c r="C137" i="7"/>
  <c r="I136" i="7"/>
  <c r="G136" i="7"/>
  <c r="D137" i="7" l="1"/>
  <c r="I137" i="7"/>
  <c r="J137" i="7"/>
  <c r="H137" i="7"/>
  <c r="G137" i="7"/>
  <c r="C138" i="7"/>
  <c r="F137" i="7"/>
  <c r="E137" i="7"/>
  <c r="B137" i="7"/>
  <c r="E138" i="7" l="1"/>
  <c r="B138" i="7"/>
  <c r="J138" i="7"/>
  <c r="G138" i="7"/>
  <c r="F138" i="7"/>
  <c r="D138" i="7"/>
  <c r="C139" i="7" s="1"/>
  <c r="I138" i="7"/>
  <c r="H138" i="7"/>
  <c r="F139" i="7" l="1"/>
  <c r="G139" i="7"/>
  <c r="E139" i="7"/>
  <c r="D139" i="7"/>
  <c r="C140" i="7"/>
  <c r="J139" i="7"/>
  <c r="I139" i="7"/>
  <c r="H139" i="7"/>
  <c r="B139" i="7"/>
  <c r="G140" i="7" l="1"/>
  <c r="D140" i="7"/>
  <c r="C141" i="7"/>
  <c r="B140" i="7"/>
  <c r="J140" i="7"/>
  <c r="I140" i="7"/>
  <c r="H140" i="7"/>
  <c r="F140" i="7"/>
  <c r="E140" i="7"/>
  <c r="H141" i="7" l="1"/>
  <c r="E141" i="7"/>
  <c r="B141" i="7"/>
  <c r="J141" i="7"/>
  <c r="I141" i="7"/>
  <c r="G141" i="7"/>
  <c r="F141" i="7"/>
  <c r="D141" i="7"/>
  <c r="C142" i="7" s="1"/>
  <c r="I142" i="7" l="1"/>
  <c r="F142" i="7"/>
  <c r="D142" i="7"/>
  <c r="H142" i="7"/>
  <c r="G142" i="7"/>
  <c r="E142" i="7"/>
  <c r="C143" i="7"/>
  <c r="J142" i="7"/>
  <c r="B142" i="7"/>
  <c r="J143" i="7" l="1"/>
  <c r="G143" i="7"/>
  <c r="E143" i="7"/>
  <c r="B143" i="7"/>
  <c r="I143" i="7"/>
  <c r="H143" i="7"/>
  <c r="F143" i="7"/>
  <c r="D143" i="7"/>
  <c r="C144" i="7" s="1"/>
  <c r="H144" i="7" l="1"/>
  <c r="F144" i="7"/>
  <c r="D144" i="7"/>
  <c r="B144" i="7"/>
  <c r="C145" i="7"/>
  <c r="J144" i="7"/>
  <c r="I144" i="7"/>
  <c r="G144" i="7"/>
  <c r="E144" i="7"/>
  <c r="B145" i="7" l="1"/>
  <c r="I145" i="7"/>
  <c r="G145" i="7"/>
  <c r="J145" i="7"/>
  <c r="H145" i="7"/>
  <c r="F145" i="7"/>
  <c r="D145" i="7"/>
  <c r="C146" i="7" s="1"/>
  <c r="E145" i="7"/>
  <c r="J146" i="7" l="1"/>
  <c r="H146" i="7"/>
  <c r="I146" i="7"/>
  <c r="G146" i="7"/>
  <c r="F146" i="7"/>
  <c r="E146" i="7"/>
  <c r="D146" i="7"/>
  <c r="C147" i="7" s="1"/>
  <c r="B146" i="7"/>
  <c r="D147" i="7" l="1"/>
  <c r="I147" i="7"/>
  <c r="F147" i="7"/>
  <c r="E147" i="7"/>
  <c r="H147" i="7"/>
  <c r="G147" i="7"/>
  <c r="B147" i="7"/>
  <c r="C148" i="7"/>
  <c r="J147" i="7"/>
  <c r="E148" i="7" l="1"/>
  <c r="B148" i="7"/>
  <c r="J148" i="7"/>
  <c r="I148" i="7"/>
  <c r="H148" i="7"/>
  <c r="G148" i="7"/>
  <c r="F148" i="7"/>
  <c r="D148" i="7"/>
  <c r="C149" i="7" s="1"/>
  <c r="F149" i="7" l="1"/>
  <c r="B149" i="7"/>
  <c r="I149" i="7"/>
  <c r="H149" i="7"/>
  <c r="G149" i="7"/>
  <c r="E149" i="7"/>
  <c r="D149" i="7"/>
  <c r="C150" i="7" s="1"/>
  <c r="J149" i="7"/>
  <c r="G150" i="7" l="1"/>
  <c r="D150" i="7"/>
  <c r="C151" i="7"/>
  <c r="B150" i="7"/>
  <c r="H150" i="7"/>
  <c r="F150" i="7"/>
  <c r="E150" i="7"/>
  <c r="J150" i="7"/>
  <c r="I150" i="7"/>
  <c r="H151" i="7" l="1"/>
  <c r="E151" i="7"/>
  <c r="J151" i="7"/>
  <c r="I151" i="7"/>
  <c r="G151" i="7"/>
  <c r="F151" i="7"/>
  <c r="D151" i="7"/>
  <c r="C152" i="7" s="1"/>
  <c r="B151" i="7"/>
  <c r="I152" i="7" l="1"/>
  <c r="F152" i="7"/>
  <c r="D152" i="7"/>
  <c r="B152" i="7"/>
  <c r="E152" i="7"/>
  <c r="C153" i="7"/>
  <c r="J152" i="7"/>
  <c r="H152" i="7"/>
  <c r="G152" i="7"/>
  <c r="J153" i="7" l="1"/>
  <c r="G153" i="7"/>
  <c r="E153" i="7"/>
  <c r="I153" i="7"/>
  <c r="H153" i="7"/>
  <c r="F153" i="7"/>
  <c r="D153" i="7"/>
  <c r="C154" i="7" s="1"/>
  <c r="B153" i="7"/>
  <c r="H154" i="7" l="1"/>
  <c r="F154" i="7"/>
  <c r="E154" i="7"/>
  <c r="D154" i="7"/>
  <c r="C155" i="7" s="1"/>
  <c r="B154" i="7"/>
  <c r="J154" i="7"/>
  <c r="I154" i="7"/>
  <c r="G154" i="7"/>
  <c r="B155" i="7" l="1"/>
  <c r="I155" i="7"/>
  <c r="G155" i="7"/>
  <c r="E155" i="7"/>
  <c r="D155" i="7"/>
  <c r="C156" i="7" s="1"/>
  <c r="J155" i="7"/>
  <c r="H155" i="7"/>
  <c r="F155" i="7"/>
  <c r="J156" i="7" l="1"/>
  <c r="H156" i="7"/>
  <c r="I156" i="7"/>
  <c r="G156" i="7"/>
  <c r="F156" i="7"/>
  <c r="E156" i="7"/>
  <c r="D156" i="7"/>
  <c r="B156" i="7"/>
  <c r="C157" i="7"/>
  <c r="D157" i="7" l="1"/>
  <c r="I157" i="7"/>
  <c r="B157" i="7"/>
  <c r="C158" i="7"/>
  <c r="J157" i="7"/>
  <c r="H157" i="7"/>
  <c r="G157" i="7"/>
  <c r="F157" i="7"/>
  <c r="E157" i="7"/>
  <c r="E158" i="7" l="1"/>
  <c r="B158" i="7"/>
  <c r="J158" i="7"/>
  <c r="G158" i="7"/>
  <c r="F158" i="7"/>
  <c r="D158" i="7"/>
  <c r="C159" i="7" s="1"/>
  <c r="I158" i="7"/>
  <c r="H158" i="7"/>
  <c r="F159" i="7" l="1"/>
  <c r="J159" i="7"/>
  <c r="I159" i="7"/>
  <c r="B159" i="7"/>
  <c r="H159" i="7"/>
  <c r="G159" i="7"/>
  <c r="E159" i="7"/>
  <c r="D159" i="7"/>
  <c r="C160" i="7" s="1"/>
  <c r="G160" i="7" l="1"/>
  <c r="D160" i="7"/>
  <c r="C161" i="7"/>
  <c r="B160" i="7"/>
  <c r="J160" i="7"/>
  <c r="I160" i="7"/>
  <c r="H160" i="7"/>
  <c r="F160" i="7"/>
  <c r="E160" i="7"/>
  <c r="H161" i="7" l="1"/>
  <c r="E161" i="7"/>
  <c r="I161" i="7"/>
  <c r="G161" i="7"/>
  <c r="F161" i="7"/>
  <c r="B161" i="7"/>
  <c r="J161" i="7"/>
  <c r="D161" i="7"/>
  <c r="C162" i="7" s="1"/>
  <c r="I162" i="7" l="1"/>
  <c r="F162" i="7"/>
  <c r="D162" i="7"/>
  <c r="C163" i="7"/>
  <c r="J162" i="7"/>
  <c r="H162" i="7"/>
  <c r="G162" i="7"/>
  <c r="E162" i="7"/>
  <c r="B162" i="7"/>
  <c r="J163" i="7" l="1"/>
  <c r="G163" i="7"/>
  <c r="E163" i="7"/>
  <c r="D163" i="7"/>
  <c r="B163" i="7"/>
  <c r="H163" i="7"/>
  <c r="F163" i="7"/>
  <c r="C164" i="7"/>
  <c r="I163" i="7"/>
  <c r="H164" i="7" l="1"/>
  <c r="F164" i="7"/>
  <c r="J164" i="7"/>
  <c r="I164" i="7"/>
  <c r="G164" i="7"/>
  <c r="E164" i="7"/>
  <c r="D164" i="7"/>
  <c r="C165" i="7" s="1"/>
  <c r="B164" i="7"/>
  <c r="B165" i="7" l="1"/>
  <c r="I165" i="7"/>
  <c r="G165" i="7"/>
  <c r="H165" i="7"/>
  <c r="F165" i="7"/>
  <c r="E165" i="7"/>
  <c r="D165" i="7"/>
  <c r="C166" i="7" s="1"/>
  <c r="J165" i="7"/>
  <c r="J166" i="7" l="1"/>
  <c r="H166" i="7"/>
  <c r="F166" i="7"/>
  <c r="E166" i="7"/>
  <c r="D166" i="7"/>
  <c r="C167" i="7"/>
  <c r="I166" i="7"/>
  <c r="G166" i="7"/>
  <c r="B166" i="7"/>
  <c r="D167" i="7" l="1"/>
  <c r="I167" i="7"/>
  <c r="C168" i="7"/>
  <c r="J167" i="7"/>
  <c r="H167" i="7"/>
  <c r="G167" i="7"/>
  <c r="F167" i="7"/>
  <c r="E167" i="7"/>
  <c r="B167" i="7"/>
  <c r="F168" i="7" l="1"/>
  <c r="E168" i="7"/>
  <c r="B168" i="7"/>
  <c r="J168" i="7"/>
  <c r="D168" i="7"/>
  <c r="C169" i="7" s="1"/>
  <c r="I168" i="7"/>
  <c r="H168" i="7"/>
  <c r="G168" i="7"/>
  <c r="G169" i="7" l="1"/>
  <c r="F169" i="7"/>
  <c r="J169" i="7"/>
  <c r="I169" i="7"/>
  <c r="H169" i="7"/>
  <c r="E169" i="7"/>
  <c r="D169" i="7"/>
  <c r="C170" i="7" s="1"/>
  <c r="B169" i="7"/>
  <c r="H170" i="7" l="1"/>
  <c r="G170" i="7"/>
  <c r="D170" i="7"/>
  <c r="C171" i="7"/>
  <c r="B170" i="7"/>
  <c r="I170" i="7"/>
  <c r="F170" i="7"/>
  <c r="E170" i="7"/>
  <c r="J170" i="7"/>
  <c r="I171" i="7" l="1"/>
  <c r="H171" i="7"/>
  <c r="E171" i="7"/>
  <c r="J171" i="7"/>
  <c r="G171" i="7"/>
  <c r="F171" i="7"/>
  <c r="D171" i="7"/>
  <c r="C172" i="7" s="1"/>
  <c r="B171" i="7"/>
  <c r="J172" i="7" l="1"/>
  <c r="I172" i="7"/>
  <c r="F172" i="7"/>
  <c r="D172" i="7"/>
  <c r="C173" i="7"/>
  <c r="H172" i="7"/>
  <c r="G172" i="7"/>
  <c r="E172" i="7"/>
  <c r="B172" i="7"/>
  <c r="J173" i="7" l="1"/>
  <c r="G173" i="7"/>
  <c r="E173" i="7"/>
  <c r="H173" i="7"/>
  <c r="F173" i="7"/>
  <c r="D173" i="7"/>
  <c r="B173" i="7"/>
  <c r="C174" i="7"/>
  <c r="I173" i="7"/>
  <c r="B174" i="7" l="1"/>
  <c r="H174" i="7"/>
  <c r="F174" i="7"/>
  <c r="J174" i="7"/>
  <c r="I174" i="7"/>
  <c r="G174" i="7"/>
  <c r="E174" i="7"/>
  <c r="D174" i="7"/>
  <c r="C175" i="7" s="1"/>
  <c r="B175" i="7" l="1"/>
  <c r="I175" i="7"/>
  <c r="G175" i="7"/>
  <c r="F175" i="7"/>
  <c r="E175" i="7"/>
  <c r="D175" i="7"/>
  <c r="C176" i="7" s="1"/>
  <c r="J175" i="7"/>
  <c r="H175" i="7"/>
  <c r="D176" i="7" l="1"/>
  <c r="J176" i="7"/>
  <c r="H176" i="7"/>
  <c r="C177" i="7"/>
  <c r="B176" i="7"/>
  <c r="I176" i="7"/>
  <c r="G176" i="7"/>
  <c r="F176" i="7"/>
  <c r="E176" i="7"/>
  <c r="E177" i="7" l="1"/>
  <c r="D177" i="7"/>
  <c r="I177" i="7"/>
  <c r="F177" i="7"/>
  <c r="B177" i="7"/>
  <c r="C178" i="7"/>
  <c r="J177" i="7"/>
  <c r="H177" i="7"/>
  <c r="G177" i="7"/>
  <c r="F178" i="7" l="1"/>
  <c r="E178" i="7"/>
  <c r="B178" i="7"/>
  <c r="J178" i="7"/>
  <c r="I178" i="7"/>
  <c r="G178" i="7"/>
  <c r="D178" i="7"/>
  <c r="C179" i="7" s="1"/>
  <c r="H178" i="7"/>
  <c r="G179" i="7" l="1"/>
  <c r="F179" i="7"/>
  <c r="D179" i="7"/>
  <c r="B179" i="7"/>
  <c r="C180" i="7"/>
  <c r="J179" i="7"/>
  <c r="I179" i="7"/>
  <c r="H179" i="7"/>
  <c r="E179" i="7"/>
  <c r="H180" i="7" l="1"/>
  <c r="G180" i="7"/>
  <c r="D180" i="7"/>
  <c r="C181" i="7"/>
  <c r="B180" i="7"/>
  <c r="J180" i="7"/>
  <c r="I180" i="7"/>
  <c r="F180" i="7"/>
  <c r="E180" i="7"/>
  <c r="I181" i="7" l="1"/>
  <c r="H181" i="7"/>
  <c r="E181" i="7"/>
  <c r="B181" i="7"/>
  <c r="F181" i="7"/>
  <c r="D181" i="7"/>
  <c r="C182" i="7"/>
  <c r="J181" i="7"/>
  <c r="G181" i="7"/>
  <c r="J182" i="7" l="1"/>
  <c r="I182" i="7"/>
  <c r="F182" i="7"/>
  <c r="D182" i="7"/>
  <c r="H182" i="7"/>
  <c r="G182" i="7"/>
  <c r="C183" i="7"/>
  <c r="E182" i="7"/>
  <c r="B182" i="7"/>
  <c r="J183" i="7" l="1"/>
  <c r="G183" i="7"/>
  <c r="E183" i="7"/>
  <c r="B183" i="7"/>
  <c r="I183" i="7"/>
  <c r="H183" i="7"/>
  <c r="F183" i="7"/>
  <c r="D183" i="7"/>
  <c r="C184" i="7"/>
  <c r="B184" i="7" l="1"/>
  <c r="H184" i="7"/>
  <c r="F184" i="7"/>
  <c r="I184" i="7"/>
  <c r="G184" i="7"/>
  <c r="E184" i="7"/>
  <c r="J184" i="7"/>
  <c r="D184" i="7"/>
  <c r="C185" i="7" s="1"/>
  <c r="B185" i="7" l="1"/>
  <c r="I185" i="7"/>
  <c r="G185" i="7"/>
  <c r="J185" i="7"/>
  <c r="H185" i="7"/>
  <c r="F185" i="7"/>
  <c r="E185" i="7"/>
  <c r="D185" i="7"/>
  <c r="C186" i="7" s="1"/>
  <c r="D186" i="7" l="1"/>
  <c r="J186" i="7"/>
  <c r="H186" i="7"/>
  <c r="G186" i="7"/>
  <c r="F186" i="7"/>
  <c r="E186" i="7"/>
  <c r="I186" i="7"/>
  <c r="B186" i="7"/>
  <c r="C187" i="7"/>
  <c r="E187" i="7" l="1"/>
  <c r="D187" i="7"/>
  <c r="I187" i="7"/>
  <c r="C188" i="7"/>
  <c r="J187" i="7"/>
  <c r="H187" i="7"/>
  <c r="G187" i="7"/>
  <c r="F187" i="7"/>
  <c r="B187" i="7"/>
  <c r="F188" i="7" l="1"/>
  <c r="E188" i="7"/>
  <c r="B188" i="7"/>
  <c r="J188" i="7"/>
  <c r="G188" i="7"/>
  <c r="D188" i="7"/>
  <c r="C189" i="7" s="1"/>
  <c r="I188" i="7"/>
  <c r="H188" i="7"/>
  <c r="G189" i="7" l="1"/>
  <c r="F189" i="7"/>
  <c r="J189" i="7"/>
  <c r="D189" i="7"/>
  <c r="C190" i="7" s="1"/>
  <c r="B189" i="7"/>
  <c r="I189" i="7"/>
  <c r="H189" i="7"/>
  <c r="E189" i="7"/>
  <c r="H190" i="7" l="1"/>
  <c r="G190" i="7"/>
  <c r="D190" i="7"/>
  <c r="C191" i="7"/>
  <c r="B190" i="7"/>
  <c r="E190" i="7"/>
  <c r="J190" i="7"/>
  <c r="I190" i="7"/>
  <c r="F190" i="7"/>
  <c r="I191" i="7" l="1"/>
  <c r="H191" i="7"/>
  <c r="E191" i="7"/>
  <c r="J191" i="7"/>
  <c r="G191" i="7"/>
  <c r="F191" i="7"/>
  <c r="D191" i="7"/>
  <c r="C192" i="7" s="1"/>
  <c r="B191" i="7"/>
  <c r="J192" i="7" l="1"/>
  <c r="I192" i="7"/>
  <c r="F192" i="7"/>
  <c r="D192" i="7"/>
  <c r="B192" i="7"/>
  <c r="C193" i="7"/>
  <c r="H192" i="7"/>
  <c r="G192" i="7"/>
  <c r="E192" i="7"/>
  <c r="J193" i="7" l="1"/>
  <c r="G193" i="7"/>
  <c r="E193" i="7"/>
  <c r="I193" i="7"/>
  <c r="H193" i="7"/>
  <c r="F193" i="7"/>
  <c r="D193" i="7"/>
  <c r="C194" i="7" s="1"/>
  <c r="B193" i="7"/>
  <c r="B194" i="7" l="1"/>
  <c r="H194" i="7"/>
  <c r="F194" i="7"/>
  <c r="G194" i="7"/>
  <c r="E194" i="7"/>
  <c r="D194" i="7"/>
  <c r="C195" i="7" s="1"/>
  <c r="J194" i="7"/>
  <c r="I194" i="7"/>
  <c r="B195" i="7" l="1"/>
  <c r="I195" i="7"/>
  <c r="G195" i="7"/>
  <c r="J195" i="7"/>
  <c r="H195" i="7"/>
  <c r="F195" i="7"/>
  <c r="E195" i="7"/>
  <c r="D195" i="7"/>
  <c r="C196" i="7" s="1"/>
  <c r="D196" i="7" l="1"/>
  <c r="J196" i="7"/>
  <c r="H196" i="7"/>
  <c r="I196" i="7"/>
  <c r="G196" i="7"/>
  <c r="F196" i="7"/>
  <c r="E196" i="7"/>
  <c r="B196" i="7"/>
  <c r="C197" i="7"/>
  <c r="E197" i="7" l="1"/>
  <c r="D197" i="7"/>
  <c r="I197" i="7"/>
  <c r="H197" i="7"/>
  <c r="G197" i="7"/>
  <c r="F197" i="7"/>
  <c r="B197" i="7"/>
  <c r="C198" i="7"/>
  <c r="J197" i="7"/>
  <c r="F198" i="7" l="1"/>
  <c r="E198" i="7"/>
  <c r="B198" i="7"/>
  <c r="J198" i="7"/>
  <c r="I198" i="7"/>
  <c r="H198" i="7"/>
  <c r="G198" i="7"/>
  <c r="D198" i="7"/>
  <c r="C199" i="7" s="1"/>
  <c r="G199" i="7" l="1"/>
  <c r="F199" i="7"/>
  <c r="H199" i="7"/>
  <c r="E199" i="7"/>
  <c r="D199" i="7"/>
  <c r="J199" i="7"/>
  <c r="I199" i="7"/>
  <c r="B199" i="7"/>
  <c r="C200" i="7"/>
  <c r="H200" i="7" l="1"/>
  <c r="G200" i="7"/>
  <c r="D200" i="7"/>
  <c r="C201" i="7"/>
  <c r="B200" i="7"/>
  <c r="J200" i="7"/>
  <c r="I200" i="7"/>
  <c r="F200" i="7"/>
  <c r="E200" i="7"/>
  <c r="I201" i="7" l="1"/>
  <c r="H201" i="7"/>
  <c r="E201" i="7"/>
  <c r="F201" i="7"/>
  <c r="D201" i="7"/>
  <c r="B201" i="7"/>
  <c r="C202" i="7"/>
  <c r="J201" i="7"/>
  <c r="G201" i="7"/>
  <c r="J202" i="7" l="1"/>
  <c r="I202" i="7"/>
  <c r="F202" i="7"/>
  <c r="D202" i="7"/>
  <c r="C203" i="7"/>
  <c r="E202" i="7"/>
  <c r="B202" i="7"/>
  <c r="H202" i="7"/>
  <c r="G202" i="7"/>
  <c r="J203" i="7" l="1"/>
  <c r="G203" i="7"/>
  <c r="E203" i="7"/>
  <c r="D203" i="7"/>
  <c r="B203" i="7"/>
  <c r="C204" i="7"/>
  <c r="I203" i="7"/>
  <c r="H203" i="7"/>
  <c r="F203" i="7"/>
  <c r="B204" i="7" l="1"/>
  <c r="H204" i="7"/>
  <c r="F204" i="7"/>
  <c r="J204" i="7"/>
  <c r="I204" i="7"/>
  <c r="G204" i="7"/>
  <c r="E204" i="7"/>
  <c r="D204" i="7"/>
  <c r="C205" i="7" s="1"/>
  <c r="B205" i="7" l="1"/>
  <c r="I205" i="7"/>
  <c r="G205" i="7"/>
  <c r="D205" i="7"/>
  <c r="C206" i="7" s="1"/>
  <c r="E205" i="7"/>
  <c r="J205" i="7"/>
  <c r="H205" i="7"/>
  <c r="F205" i="7"/>
  <c r="D206" i="7" l="1"/>
  <c r="J206" i="7"/>
  <c r="H206" i="7"/>
  <c r="I206" i="7"/>
  <c r="G206" i="7"/>
  <c r="C207" i="7"/>
  <c r="F206" i="7"/>
  <c r="E206" i="7"/>
  <c r="B206" i="7"/>
  <c r="E207" i="7" l="1"/>
  <c r="D207" i="7"/>
  <c r="I207" i="7"/>
  <c r="B207" i="7"/>
  <c r="H207" i="7"/>
  <c r="G207" i="7"/>
  <c r="F207" i="7"/>
  <c r="C208" i="7"/>
  <c r="J207" i="7"/>
  <c r="F208" i="7" l="1"/>
  <c r="E208" i="7"/>
  <c r="B208" i="7"/>
  <c r="J208" i="7"/>
  <c r="I208" i="7"/>
  <c r="H208" i="7"/>
  <c r="G208" i="7"/>
  <c r="D208" i="7"/>
  <c r="C209" i="7" s="1"/>
  <c r="G209" i="7" l="1"/>
  <c r="F209" i="7"/>
  <c r="J209" i="7"/>
  <c r="I209" i="7"/>
  <c r="H209" i="7"/>
  <c r="E209" i="7"/>
  <c r="D209" i="7"/>
  <c r="C210" i="7" s="1"/>
  <c r="B209" i="7"/>
  <c r="H210" i="7" l="1"/>
  <c r="G210" i="7"/>
  <c r="D210" i="7"/>
  <c r="C211" i="7"/>
  <c r="B210" i="7"/>
  <c r="J210" i="7"/>
  <c r="I210" i="7"/>
  <c r="F210" i="7"/>
  <c r="E210" i="7"/>
  <c r="J211" i="7" l="1"/>
  <c r="I211" i="7"/>
  <c r="H211" i="7"/>
  <c r="G211" i="7"/>
  <c r="F211" i="7"/>
  <c r="E211" i="7"/>
  <c r="D211" i="7"/>
  <c r="B211" i="7"/>
</calcChain>
</file>

<file path=xl/sharedStrings.xml><?xml version="1.0" encoding="utf-8"?>
<sst xmlns="http://schemas.openxmlformats.org/spreadsheetml/2006/main" count="371" uniqueCount="285">
  <si>
    <t>△  tribai.co</t>
  </si>
  <si>
    <t>INPLUX</t>
  </si>
  <si>
    <t>Inteligencia tributaria colombiana</t>
  </si>
  <si>
    <t>Tributaristas que construyen tecnología</t>
  </si>
  <si>
    <t>El Estatuto, la calculadora y el criterio. Todo en uno.</t>
  </si>
  <si>
    <t>HERRAMIENTA INTEGRADA DE SANCIONES E INTERESES</t>
  </si>
  <si>
    <t>Versión 1.0 | Abril 2026 | INPLUX S.A.S.</t>
  </si>
  <si>
    <t>CALCULADORAS DISPONIBLES</t>
  </si>
  <si>
    <t>Calculadora</t>
  </si>
  <si>
    <t>Descripción</t>
  </si>
  <si>
    <t>Base normativa</t>
  </si>
  <si>
    <t>1. Extemporaneidad</t>
  </si>
  <si>
    <t>Sanción por presentación extemporánea de declaraciones tributarias</t>
  </si>
  <si>
    <t>ET 641, 642, 260-11, 640, 639</t>
  </si>
  <si>
    <t>2. Corrección</t>
  </si>
  <si>
    <t>Sanción por corrección de declaraciones tributarias</t>
  </si>
  <si>
    <t>ET 644, 588, 589, 640, 639</t>
  </si>
  <si>
    <t>3. Evasión pasiva</t>
  </si>
  <si>
    <t>Sanción por evasión pasiva (omisión de ingresos)</t>
  </si>
  <si>
    <t>ET 658-2</t>
  </si>
  <si>
    <t>4. Info. exógena</t>
  </si>
  <si>
    <t>Sanción por información exógena</t>
  </si>
  <si>
    <t>ET 651, 640</t>
  </si>
  <si>
    <t>5. Intereses</t>
  </si>
  <si>
    <t>Cálculo de intereses moratorios</t>
  </si>
  <si>
    <t>ET 635, 634</t>
  </si>
  <si>
    <t>HOJAS DE REFERENCIA</t>
  </si>
  <si>
    <t>Tasas</t>
  </si>
  <si>
    <t>Tasas de interés certificadas por la Superintendencia Financiera</t>
  </si>
  <si>
    <t>REDUCCIÓN TRANSITORIA VIGENTE</t>
  </si>
  <si>
    <t>Decreto 240/2026:</t>
  </si>
  <si>
    <t>Venc. ≤ 30-nov-2025 | Pres./Pago entre 1-ene y 30-abr-2026</t>
  </si>
  <si>
    <t>Intereses:</t>
  </si>
  <si>
    <t>Tasa fija del 4,5 % anual | Venc. ≤ 31-dic-2025, Pago ≤ 30-abr-2026</t>
  </si>
  <si>
    <t>Sanciones:</t>
  </si>
  <si>
    <t>Reducción al 15 % de la sanción</t>
  </si>
  <si>
    <t>INSTRUCCIONES</t>
  </si>
  <si>
    <t>1. Seleccione la calculadora que necesita.
2. Diligencie las celdas en color azul claro con los datos de entrada.
3. Los resultados se calculan automáticamente en las celdas de color verde claro.
4. La hoja «Tasas» contiene las tasas certificadas por la SFC (actualizables).</t>
  </si>
  <si>
    <t>AVISO LEGAL Y PROPIEDAD INTELECTUAL</t>
  </si>
  <si>
    <t>PROPIEDAD INTELECTUAL</t>
  </si>
  <si>
    <t>Esta herramienta es propiedad exclusiva de INPLUX S.A.S., identificada con NIT 901.784.448-8,</t>
  </si>
  <si>
    <t>matrícula mercantil 21-773471-12, con domicilio en Medellín, Antioquia, Colombia, que opera bajo</t>
  </si>
  <si>
    <t>la marca comercial TRIBAI (tribai.co). Todos los derechos de propiedad intelectual sobre</t>
  </si>
  <si>
    <t>el diseño, la estructura, las fórmulas y la lógica de cálculo están reservados.</t>
  </si>
  <si>
    <t>RESTRICCIONES DE USO</t>
  </si>
  <si>
    <t>Queda prohibido sin autorización escrita de INPLUX S.A.S.: reproducir, copiar, modificar,</t>
  </si>
  <si>
    <t>distribuir, sublicenciar, vender o realizar ingeniería inversa de esta herramienta.</t>
  </si>
  <si>
    <t>EXENCIÓN DE RESPONSABILIDAD</t>
  </si>
  <si>
    <t>Se proporciona «tal como está» (AS IS) con fines informativos. El usuario es responsable de</t>
  </si>
  <si>
    <t>verificar los resultados con un profesional tributario calificado. INPLUX S.A.S. no será</t>
  </si>
  <si>
    <t>responsable por daños derivados del uso de esta herramienta.</t>
  </si>
  <si>
    <t>CRÉDITOS</t>
  </si>
  <si>
    <t>Construida y validada bajo la dirección de:</t>
  </si>
  <si>
    <t>Jaime Alonso Cano Pino</t>
  </si>
  <si>
    <t>CEO — INPLUX S.A.S.</t>
  </si>
  <si>
    <t>CONTACTO</t>
  </si>
  <si>
    <t>INPLUX S.A.S. | NIT 901.784.448-8 | Transversal 5A # 45-91, Medellín</t>
  </si>
  <si>
    <t>gerencia@inplux.co | (+57) 302 319 46 36</t>
  </si>
  <si>
    <t>inplux.co</t>
  </si>
  <si>
    <t>tribai.co</t>
  </si>
  <si>
    <t>«Tributaristas que construyen tecnología»</t>
  </si>
  <si>
    <t>Versión 1.0 | Abril 2026 | Todos los derechos reservados.</t>
  </si>
  <si>
    <t>Año</t>
  </si>
  <si>
    <t>UVT</t>
  </si>
  <si>
    <t>Tipos de declaración</t>
  </si>
  <si>
    <t>Tipos sanción exógena</t>
  </si>
  <si>
    <t>Festivos Colombia</t>
  </si>
  <si>
    <t>Reducciones intereses</t>
  </si>
  <si>
    <t>Renta y complementarios</t>
  </si>
  <si>
    <t>Información no suministrada</t>
  </si>
  <si>
    <t>Sin reducción (ET 635)</t>
  </si>
  <si>
    <t>IVA (Impuesto al valor agregado)</t>
  </si>
  <si>
    <t>Información suministrada en forma errónea</t>
  </si>
  <si>
    <t>Ley 2277/2022 Art. 93 - Reducción 60% (usa 40% usura)</t>
  </si>
  <si>
    <t>Retención en la fuente</t>
  </si>
  <si>
    <t>Información suministrada en forma extemporánea</t>
  </si>
  <si>
    <t>Ley 2277/2022 Art. 91 - Reducción 50% (usa 50% usura)</t>
  </si>
  <si>
    <t>Otras declaraciones tributarias</t>
  </si>
  <si>
    <t>Ley 2155/2021 - Reducción 80% (usa 20% IBC)</t>
  </si>
  <si>
    <t>Declaración anual de activos en el exterior</t>
  </si>
  <si>
    <t>SIMPLE (Impuesto unificado)</t>
  </si>
  <si>
    <t>SIMPLE (Ganancias ocasionales)</t>
  </si>
  <si>
    <t>SIMPLE (Impuesto nacional al consumo)</t>
  </si>
  <si>
    <t>GMF (Gravamen a los movimientos financieros)</t>
  </si>
  <si>
    <t>Precios de transferencia: Documentación comprobatoria</t>
  </si>
  <si>
    <t>Precios de transferencia: Declaración informativa</t>
  </si>
  <si>
    <t>SANCIÓN POR EXTEMPORANEIDAD</t>
  </si>
  <si>
    <t>ET 641, 642, 260-11, 640, 639 | Decreto 240/2026 | Ley 2155/2021 | Ley 2277/2022</t>
  </si>
  <si>
    <t>TIPO DE DECLARACIÓN</t>
  </si>
  <si>
    <t>Seleccione el tipo de declaración:</t>
  </si>
  <si>
    <t>Seleccione el tipo de declaración tributaria de la lista.</t>
  </si>
  <si>
    <t>Datos requeridos:</t>
  </si>
  <si>
    <t>DATOS DE LA DECLARACIÓN</t>
  </si>
  <si>
    <t>Renglón 'Total impuesto a cargo' del formulario. Si no tiene impuesto, deje en 0.</t>
  </si>
  <si>
    <t>Saldo a favor:</t>
  </si>
  <si>
    <t>Ingresos brutos del período:</t>
  </si>
  <si>
    <t>Se usa como base solo si el impuesto a cargo es $0.</t>
  </si>
  <si>
    <t>Patrimonio líquido del año anterior:</t>
  </si>
  <si>
    <t>FECHAS</t>
  </si>
  <si>
    <t>Fecha de vencimiento:</t>
  </si>
  <si>
    <t>Fecha del decreto de plazos DIAN del año correspondiente.</t>
  </si>
  <si>
    <t>Fecha de presentación:</t>
  </si>
  <si>
    <t>Fecha del sticker o acuse de recibo de la declaración presentada.</t>
  </si>
  <si>
    <t>UVT del año de presentación:</t>
  </si>
  <si>
    <t>GRADUALIDAD (ET 640)</t>
  </si>
  <si>
    <t>¿La DIAN envió emplazamiento?</t>
  </si>
  <si>
    <t>No</t>
  </si>
  <si>
    <t>Seleccione 'Sí' si la DIAN le envió emplazamiento previo por no declarar.</t>
  </si>
  <si>
    <t>¿Tuvo conducta sancionable en años anteriores?</t>
  </si>
  <si>
    <t>Seleccione 'Sí' si ha tenido sanciones por la misma conducta en años anteriores.</t>
  </si>
  <si>
    <t>Fecha de vencimiento de la última conducta sancionable:</t>
  </si>
  <si>
    <t>Solo diligencie si respondió 'Sí' a la pregunta anterior.</t>
  </si>
  <si>
    <t>LIQUIDACIÓN DE LA SANCIÓN</t>
  </si>
  <si>
    <t>Concepto de la base:</t>
  </si>
  <si>
    <t>Base de la sanción:</t>
  </si>
  <si>
    <t>Porcentaje por mes o fracción:</t>
  </si>
  <si>
    <t>Meses de extemporaneidad:</t>
  </si>
  <si>
    <t>Porcentaje total aplicable:</t>
  </si>
  <si>
    <t>Tope máximo de la sanción:</t>
  </si>
  <si>
    <t>RESULTADO</t>
  </si>
  <si>
    <t>Sanción antes de reducción:</t>
  </si>
  <si>
    <t>Factor de reducción ET 640:</t>
  </si>
  <si>
    <t>Sanción mínima (ET 639 = 10 UVT):</t>
  </si>
  <si>
    <t>SANCIÓN FINAL:</t>
  </si>
  <si>
    <t>Verifique con tribai.co →</t>
  </si>
  <si>
    <t>BENEFICIOS TRANSITORIOS (si aplica)</t>
  </si>
  <si>
    <t>Beneficio disponible:</t>
  </si>
  <si>
    <t>¿Se acoge al beneficio transitorio?</t>
  </si>
  <si>
    <t>Solo seleccione 'Sí' si cumple con las fechas del beneficio indicado.</t>
  </si>
  <si>
    <t>Factor de reducción por beneficio:</t>
  </si>
  <si>
    <t>SANCIÓN CON BENEFICIO:</t>
  </si>
  <si>
    <t>¿Necesita consultar la norma? Encuentre el Estatuto Tributario completo, 35 calculadoras fiscales y un asistente IA en tribai.co</t>
  </si>
  <si>
    <t>Visite tribai.co — Sin costo. Sin registro.</t>
  </si>
  <si>
    <t>© INPLUX S.A.S. | NIT 901.784.448-8 | Marca TRIBAI. Todos los derechos reservados. Prohibida su reproducción, distribución o modificación sin autorización escrita.</t>
  </si>
  <si>
    <t>Construida y validada por Jaime Alonso Cano Pino, CEO — INPLUX S.A.S.</t>
  </si>
  <si>
    <t>SANCIÓN POR CORRECCIÓN</t>
  </si>
  <si>
    <t>ET 644, 588, 589, 640, 639 | Ley 2010/2019 | Decreto 240/2026</t>
  </si>
  <si>
    <t>TIPO Y VALORES</t>
  </si>
  <si>
    <t>¿Es declaración del régimen SIMPLE?</t>
  </si>
  <si>
    <t>Seleccione 'Sí' si la declaración pertenece al régimen SIMPLE.</t>
  </si>
  <si>
    <t>Declaración INICIAL</t>
  </si>
  <si>
    <t>Valor a pagar (declaración inicial):</t>
  </si>
  <si>
    <t>Renglón 'Total saldo a pagar' del formulario de la declaración original.</t>
  </si>
  <si>
    <t>Saldo a favor (declaración inicial):</t>
  </si>
  <si>
    <t>Si el resultado de la declaración original fue a pagar, deje en 0.</t>
  </si>
  <si>
    <t>Declaración de CORRECCIÓN</t>
  </si>
  <si>
    <t>Valor a pagar (corrección):</t>
  </si>
  <si>
    <t>Renglón 'Total saldo a pagar' de la declaración de corrección.</t>
  </si>
  <si>
    <t>Saldo a favor (corrección):</t>
  </si>
  <si>
    <t>Si el resultado de la corrección es a pagar, deje en 0.</t>
  </si>
  <si>
    <t>Fecha de vencimiento de la declaración:</t>
  </si>
  <si>
    <t>Fecha del calendario tributario DIAN para la declaración original.</t>
  </si>
  <si>
    <t>Fecha de presentación (declaración original):</t>
  </si>
  <si>
    <t>Fecha del sticker o acuse de recibo de la declaración original.</t>
  </si>
  <si>
    <t>Fecha de presentación de la CORRECCIÓN:</t>
  </si>
  <si>
    <t>La herramienta valida que esté dentro del plazo legal para corregir.</t>
  </si>
  <si>
    <t>UVT del año de corrección:</t>
  </si>
  <si>
    <t>Seleccione 'Sí' si la DIAN envió emplazamiento para corregir.</t>
  </si>
  <si>
    <t>¿Tuvo conducta sancionable anterior?</t>
  </si>
  <si>
    <t>Seleccione 'Sí' si ha tenido conductas sancionables en años anteriores.</t>
  </si>
  <si>
    <t>Caso aplicable:</t>
  </si>
  <si>
    <t>¿Puede corregir dentro de plazo?</t>
  </si>
  <si>
    <t>¿Genera sanción?</t>
  </si>
  <si>
    <t>Meses de extemporaneidad (declaración original):</t>
  </si>
  <si>
    <t>Porcentaje de sanción (ET 644):</t>
  </si>
  <si>
    <t>Sanción adicional por extemporaneidad (5 % por mes):</t>
  </si>
  <si>
    <t>Sanción con reducción:</t>
  </si>
  <si>
    <t>Sanción mínima (10 UVT):</t>
  </si>
  <si>
    <t>BENEFICIOS TRANSITORIOS</t>
  </si>
  <si>
    <t>Solo seleccione 'Sí' si cumple con las condiciones del beneficio indicado.</t>
  </si>
  <si>
    <t>SANCIÓN POR EVASIÓN PASIVA</t>
  </si>
  <si>
    <t>ET 658-2 | Concepto DIAN 009665 de 2005</t>
  </si>
  <si>
    <t>CONTEXTO NORMATIVO</t>
  </si>
  <si>
    <t>Art. 658-2 ET: Cuando «A» realiza un pago a «B» y no lo registra en contabilidad o no lo informa a la DIAN, y «B» omite dicho ingreso en su declaración tributaria, se genera una sanción equivalente al impuesto teórico que se hubiera generado.</t>
  </si>
  <si>
    <t>DATOS DE ENTRADA</t>
  </si>
  <si>
    <t>Ingreso (pago de «A» a «B»):</t>
  </si>
  <si>
    <t>Valor total del pago realizado por «A» a «B» que fue omitido.</t>
  </si>
  <si>
    <t>Tarifa del impuesto sobre la renta:</t>
  </si>
  <si>
    <t>Personas jurídicas: 35 %. Personas naturales: tarifa marginal Art. 241 ET.</t>
  </si>
  <si>
    <t>Nota: Para personas jurídicas, usar la tarifa general (35 % en 2024). Para personas naturales, usar la tarifa marginal según tabla del Art. 241 ET.</t>
  </si>
  <si>
    <t>Año gravable de la sanción:</t>
  </si>
  <si>
    <t>Año en que se cometió la omisión. Determina el UVT para la sanción mínima.</t>
  </si>
  <si>
    <t>Sanción calculada (impuesto teórico):</t>
  </si>
  <si>
    <t>SANCIÓN POR EVASIÓN PASIVA:</t>
  </si>
  <si>
    <t>La sanción nunca puede ser inferior a 10 UVT (Art. 639 ET).</t>
  </si>
  <si>
    <t>SANCIÓN POR INFORMACIÓN EXÓGENA</t>
  </si>
  <si>
    <t>ET 651, modificado por Ley 2277/2022 | ET 640</t>
  </si>
  <si>
    <t>DATOS GENERALES</t>
  </si>
  <si>
    <t>Año gravable:</t>
  </si>
  <si>
    <t>UVT:</t>
  </si>
  <si>
    <t>Tipo de sanción:</t>
  </si>
  <si>
    <t>Porcentaje:</t>
  </si>
  <si>
    <t>1. SANCIÓN PARA INFORMACIÓN CON CUANTÍA</t>
  </si>
  <si>
    <t>Cód. formato</t>
  </si>
  <si>
    <t>Sanción</t>
  </si>
  <si>
    <t>Subtotal sanción con cuantía:</t>
  </si>
  <si>
    <t>2. SANCIÓN PARA INFORMACIÓN SIN CUANTÍA</t>
  </si>
  <si>
    <t>0,5 UVT por cada dato no suministrado o reportado con errores</t>
  </si>
  <si>
    <t>Subtotal sanción sin cuantía:</t>
  </si>
  <si>
    <t>3. TOTALES</t>
  </si>
  <si>
    <t>Sanción bruta (mínimo 10 UVT):</t>
  </si>
  <si>
    <t>Tope máximo (7 500 UVT):</t>
  </si>
  <si>
    <t>4. REDUCCIÓN ET 651, Inc. 3</t>
  </si>
  <si>
    <t>¿Subsanó ANTES del pliego de cargos?</t>
  </si>
  <si>
    <t>Si 'Sí', la sanción se reduce al 10 %.</t>
  </si>
  <si>
    <t>Sanción reducida al 10 %:</t>
  </si>
  <si>
    <t>¿Subsanó ANTES de la notificación de la sanción?</t>
  </si>
  <si>
    <t>Si 'Sí' (y no subsanó antes del pliego), se reduce al 50 %.</t>
  </si>
  <si>
    <t>Sanción reducida al 50 %:</t>
  </si>
  <si>
    <t>¿Subsanó dentro de los 2 meses siguientes a la notificación?</t>
  </si>
  <si>
    <t>Si 'Sí', se reduce al 70 %.</t>
  </si>
  <si>
    <t>Sanción reducida al 70 %:</t>
  </si>
  <si>
    <t>Sanción con reducción ET 651:</t>
  </si>
  <si>
    <t>5. REDUCCIÓN ET 640 (Gradualidad)</t>
  </si>
  <si>
    <t>Si subsanó ANTES del pliego:</t>
  </si>
  <si>
    <t xml:space="preserve">  ¿Misma conducta en los últimos 2 años?</t>
  </si>
  <si>
    <t>¿Reincidencia en los últimos 2 años? (Aplica si subsanó antes del pliego.)</t>
  </si>
  <si>
    <t xml:space="preserve">  ¿Misma conducta en el último año?</t>
  </si>
  <si>
    <t>¿Reincidencia en el último año? (Solo si la anterior fue 'Sí'.)</t>
  </si>
  <si>
    <t>Si NO subsanó antes del pliego:</t>
  </si>
  <si>
    <t xml:space="preserve">  ¿Misma conducta en los últimos 4 años?</t>
  </si>
  <si>
    <t>¿Reincidencia en los últimos 4 años? (Aplica si NO subsanó.)</t>
  </si>
  <si>
    <t>¿Reincidencia en los últimos 2 años? (Solo si la anterior fue 'Sí'.)</t>
  </si>
  <si>
    <t>Sanción con reducción ET 640:</t>
  </si>
  <si>
    <t>TOTAL SANCIÓN A PAGAR</t>
  </si>
  <si>
    <t>CÁLCULO DE INTERESES MORATORIOS</t>
  </si>
  <si>
    <t>Calcule cuánto debe pagar por una obligación tributaria vencida</t>
  </si>
  <si>
    <t>ET 635, 634 | Dto 2106/2019 | Dto 240/2026</t>
  </si>
  <si>
    <t>DATOS DE LA OBLIGACIÓN</t>
  </si>
  <si>
    <t>¿Cuál es el valor de la obligación?</t>
  </si>
  <si>
    <t>Valor del impuesto o saldo a pagar. Debe ser múltiplo de $1.000.</t>
  </si>
  <si>
    <t>¿Cuál es la fecha de vencimiento?</t>
  </si>
  <si>
    <t>Fecha límite de pago según calendario DIAN (decreto de plazos).</t>
  </si>
  <si>
    <t>¿Cuál es la fecha de pago?</t>
  </si>
  <si>
    <t>Fecha real o proyectada del pago. Si es hoy, ingrese la fecha de hoy.</t>
  </si>
  <si>
    <t>REDUCCIONES TRANSITORIAS (opcional)</t>
  </si>
  <si>
    <t>El Decreto 240/2026 permite pagar con una tasa fija del 4,5 % anual si el vencimiento fue antes del 31 de diciembre de 2025 y el pago se realiza antes del 30 de abril de 2026.</t>
  </si>
  <si>
    <t>¿Desea aplicar el Decreto 240/2026?</t>
  </si>
  <si>
    <t>Tasa fija 4,5 %. Requiere: venc. ≤ 31/12/2025, pago ≤ 30/04/2026.</t>
  </si>
  <si>
    <t>Otro régimen de reducción:</t>
  </si>
  <si>
    <t>Si aplica una ley de reducción, selecciónela. Por defecto: 'Sin reducción'.</t>
  </si>
  <si>
    <t>PARÁMETROS DEL CÁLCULO</t>
  </si>
  <si>
    <t>Días de mora:</t>
  </si>
  <si>
    <t>Días entre vencimiento y pago</t>
  </si>
  <si>
    <t>Período liquidado:</t>
  </si>
  <si>
    <t>Método de cálculo:</t>
  </si>
  <si>
    <t>Desde 22-nov-2019: método nuevo</t>
  </si>
  <si>
    <t>Tasa de usura anual (SFC):</t>
  </si>
  <si>
    <t>Tasa sin reducción (ET 635)</t>
  </si>
  <si>
    <t>Tasa aplicando el beneficio:</t>
  </si>
  <si>
    <t>Tasa con la reducción elegida</t>
  </si>
  <si>
    <t>RESULTADOS</t>
  </si>
  <si>
    <t>SIN BENEFICIO</t>
  </si>
  <si>
    <t>CON BENEFICIO</t>
  </si>
  <si>
    <t>Capital original:</t>
  </si>
  <si>
    <t>Tasa anual aplicada:</t>
  </si>
  <si>
    <t>Intereses de mora causados:</t>
  </si>
  <si>
    <t>TOTAL A PAGAR:</t>
  </si>
  <si>
    <t>AHORRO POR APLICAR EL BENEFICIO:</t>
  </si>
  <si>
    <t>Nota: Si no seleccionó ningún beneficio, ambas columnas mostrarán el mismo valor. Para aplicar el Decreto 240/2026 debe seleccionar «Sí» en la pregunta correspondiente y cumplir con las fechas indicadas.</t>
  </si>
  <si>
    <t>DESGLOSE POR AÑO</t>
  </si>
  <si>
    <t>Distribución de los intereses por año calendario</t>
  </si>
  <si>
    <t>Días en el año</t>
  </si>
  <si>
    <t>Intereses sin benef.</t>
  </si>
  <si>
    <t>Intereses con benef.</t>
  </si>
  <si>
    <t>Consulte las tasas vigentes y más de 35 calculadoras fiscales en tribai.co</t>
  </si>
  <si>
    <t>DETALLE MES A MES</t>
  </si>
  <si>
    <t>Desglose detallado de los intereses causados por cada mes del período de mora</t>
  </si>
  <si>
    <t>Mes</t>
  </si>
  <si>
    <t>Desde</t>
  </si>
  <si>
    <t>Hasta</t>
  </si>
  <si>
    <t>Días</t>
  </si>
  <si>
    <t>Tasa sin benef.</t>
  </si>
  <si>
    <t>Intereses sin</t>
  </si>
  <si>
    <t>Tasa con benef.</t>
  </si>
  <si>
    <t>Intereses con</t>
  </si>
  <si>
    <t>Acumulado</t>
  </si>
  <si>
    <t>Tasas de interés certificadas — Superintendencia Financiera de Colombia</t>
  </si>
  <si>
    <t>INSTRUCCIONES PARA ACTUALIZAR ESTA TABLA</t>
  </si>
  <si>
    <t>Esta tabla contiene las tasas de interés de mora (usura) y el interés bancario corriente (IBC) certificadas por la Superintendencia Financiera de Colombia. Todas las hojas de la herramienta se conectan automáticamente a esta tabla.</t>
  </si>
  <si>
    <t>Cuando cambie la tasa de interés:
1. Agregue una nueva fila al final de la tabla con la fecha «Desde», «Hasta», la tasa de usura y el IBC.
2. Los cálculos de intereses moratorios se actualizarán automáticamente en todas las hojas.
3. Consulte las tasas vigentes en la Superintendencia Financiera o en tribai.co.</t>
  </si>
  <si>
    <t>#</t>
  </si>
  <si>
    <t>Tasa de usura (ET 635)</t>
  </si>
  <si>
    <t>Interés bancario corriente</t>
  </si>
  <si>
    <t>← Agregue aquí la nueva tasa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</si>
</sst>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3" x14ac:knownFonts="1">
    <font>
      <sz val="11"/>
      <color theme="1"/>
      <name val="Calibri"/>
      <family val="2"/>
      <scheme val="minor"/>
    </font>
    <font>
      <b/>
      <sz val="10"/>
      <color rgb="FFFFFFFF"/>
      <name val="Calibri"/>
      <family val="2"/>
    </font>
    <font>
      <b/>
      <sz val="14"/>
      <color rgb="FFFFFFFF"/>
      <name val="Calibri"/>
      <family val="2"/>
    </font>
    <font>
      <i/>
      <sz val="8"/>
      <color rgb="FFC4952A"/>
      <name val="Calibri"/>
      <family val="2"/>
    </font>
    <font>
      <i/>
      <sz val="8"/>
      <color rgb="FF9CA3AF"/>
      <name val="Calibri"/>
      <family val="2"/>
    </font>
    <font>
      <b/>
      <sz val="16"/>
      <color rgb="FF0A1628"/>
      <name val="Calibri"/>
      <family val="2"/>
    </font>
    <font>
      <i/>
      <sz val="10"/>
      <color rgb="FF0066FF"/>
      <name val="Calibri"/>
      <family val="2"/>
    </font>
    <font>
      <b/>
      <sz val="12"/>
      <color rgb="FF0A1628"/>
      <name val="Calibri"/>
      <family val="2"/>
    </font>
    <font>
      <sz val="10"/>
      <color rgb="FF1A1A1A"/>
      <name val="Calibri"/>
      <family val="2"/>
    </font>
    <font>
      <b/>
      <sz val="10"/>
      <color rgb="FF0066FF"/>
      <name val="Calibri"/>
      <family val="2"/>
    </font>
    <font>
      <b/>
      <sz val="9"/>
      <color rgb="FF0066FF"/>
      <name val="Calibri"/>
      <family val="2"/>
    </font>
    <font>
      <b/>
      <sz val="10"/>
      <color rgb="FFC4952A"/>
      <name val="Calibri"/>
      <family val="2"/>
    </font>
    <font>
      <b/>
      <sz val="10"/>
      <color rgb="FF1A1A1A"/>
      <name val="Calibri"/>
      <family val="2"/>
    </font>
    <font>
      <i/>
      <sz val="9"/>
      <color rgb="FF999999"/>
      <name val="Calibri"/>
      <family val="2"/>
    </font>
    <font>
      <b/>
      <sz val="11"/>
      <color rgb="FF16A34A"/>
      <name val="Calibri"/>
      <family val="2"/>
    </font>
    <font>
      <b/>
      <sz val="12"/>
      <color rgb="FF16A34A"/>
      <name val="Calibri"/>
      <family val="2"/>
    </font>
    <font>
      <sz val="9"/>
      <color rgb="FF6B7280"/>
      <name val="Calibri"/>
      <family val="2"/>
    </font>
    <font>
      <b/>
      <sz val="13"/>
      <color rgb="FF0A1628"/>
      <name val="Calibri"/>
      <family val="2"/>
    </font>
    <font>
      <b/>
      <sz val="13"/>
      <color rgb="FFFFFFFF"/>
      <name val="Calibri"/>
      <family val="2"/>
    </font>
    <font>
      <i/>
      <sz val="9"/>
      <color rgb="FF6B7280"/>
      <name val="Calibri"/>
      <family val="2"/>
    </font>
    <font>
      <sz val="10"/>
      <color rgb="FF0066FF"/>
      <name val="Calibri"/>
      <family val="2"/>
    </font>
    <font>
      <i/>
      <sz val="9"/>
      <color rgb="FF0066FF"/>
      <name val="Calibri"/>
      <family val="2"/>
    </font>
    <font>
      <u/>
      <sz val="9"/>
      <color rgb="FF0066FF"/>
      <name val="Calibri"/>
      <family val="2"/>
    </font>
    <font>
      <sz val="7.5"/>
      <color rgb="FF999999"/>
      <name val="Calibri"/>
      <family val="2"/>
    </font>
    <font>
      <i/>
      <sz val="7.5"/>
      <color rgb="FF999999"/>
      <name val="Calibri"/>
      <family val="2"/>
    </font>
    <font>
      <i/>
      <sz val="10"/>
      <color rgb="FF6B7280"/>
      <name val="Calibri"/>
      <family val="2"/>
    </font>
    <font>
      <b/>
      <u/>
      <sz val="12"/>
      <color rgb="FF0066FF"/>
      <name val="Calibri"/>
      <family val="2"/>
    </font>
    <font>
      <sz val="9"/>
      <color rgb="FFFFFFFF"/>
      <name val="Calibri"/>
      <family val="2"/>
    </font>
    <font>
      <b/>
      <sz val="12"/>
      <color rgb="FFFFFFFF"/>
      <name val="Calibri"/>
      <family val="2"/>
    </font>
    <font>
      <sz val="10"/>
      <color rgb="FFC4952A"/>
      <name val="Calibri"/>
      <family val="2"/>
    </font>
    <font>
      <u/>
      <sz val="10"/>
      <color rgb="FF3B82F6"/>
      <name val="Calibri"/>
      <family val="2"/>
    </font>
    <font>
      <i/>
      <sz val="10"/>
      <color rgb="FFC4952A"/>
      <name val="Calibri"/>
      <family val="2"/>
    </font>
    <font>
      <i/>
      <u/>
      <sz val="8"/>
      <color rgb="FF0066FF"/>
      <name val="Calibri"/>
      <family val="2"/>
    </font>
  </fonts>
  <fills count="9">
    <fill>
      <patternFill patternType="none"/>
    </fill>
    <fill>
      <patternFill patternType="gray125"/>
    </fill>
    <fill>
      <patternFill patternType="solid">
        <fgColor rgb="FF0A1628"/>
        <bgColor rgb="FF0A1628"/>
      </patternFill>
    </fill>
    <fill>
      <patternFill patternType="solid">
        <fgColor rgb="FFEEF2FF"/>
        <bgColor rgb="FFEEF2FF"/>
      </patternFill>
    </fill>
    <fill>
      <patternFill patternType="solid">
        <fgColor rgb="FFF0F4FF"/>
        <bgColor rgb="FFF0F4FF"/>
      </patternFill>
    </fill>
    <fill>
      <patternFill patternType="solid">
        <fgColor rgb="FFECFDF5"/>
        <bgColor rgb="FFECFDF5"/>
      </patternFill>
    </fill>
    <fill>
      <patternFill patternType="solid">
        <fgColor rgb="FF6B7280"/>
        <bgColor rgb="FF6B7280"/>
      </patternFill>
    </fill>
    <fill>
      <patternFill patternType="solid">
        <fgColor rgb="FFF0F7FF"/>
        <bgColor rgb="FFF0F7FF"/>
      </patternFill>
    </fill>
    <fill>
      <patternFill patternType="solid">
        <fgColor rgb="FFF9F9F9"/>
        <bgColor rgb="FFF9F9F9"/>
      </patternFill>
    </fill>
  </fills>
  <borders count="5">
    <border>
      <left/>
      <right/>
      <top/>
      <bottom/>
      <diagonal/>
    </border>
    <border>
      <left style="thin">
        <color rgb="FFE8E8E8"/>
      </left>
      <right style="thin">
        <color rgb="FFE8E8E8"/>
      </right>
      <top style="thin">
        <color rgb="FFE8E8E8"/>
      </top>
      <bottom style="thin">
        <color rgb="FFE8E8E8"/>
      </bottom>
      <diagonal/>
    </border>
    <border>
      <left/>
      <right/>
      <top/>
      <bottom style="medium">
        <color rgb="FF0A1628"/>
      </bottom>
      <diagonal/>
    </border>
    <border>
      <left/>
      <right/>
      <top style="thin">
        <color rgb="FFE8E8E8"/>
      </top>
      <bottom style="thin">
        <color rgb="FFE8E8E8"/>
      </bottom>
      <diagonal/>
    </border>
    <border>
      <left/>
      <right style="thin">
        <color rgb="FFE8E8E8"/>
      </right>
      <top style="thin">
        <color rgb="FFE8E8E8"/>
      </top>
      <bottom style="thin">
        <color rgb="FFE8E8E8"/>
      </bottom>
      <diagonal/>
    </border>
  </borders>
  <cellStyleXfs count="1">
    <xf numFmtId="0" fontId="0" fillId="0" borderId="0"/>
  </cellStyleXfs>
  <cellXfs count="88">
    <xf numFmtId="0" fontId="0" fillId="0" borderId="0" xfId="0"/>
    <xf numFmtId="0" fontId="0" fillId="2" borderId="0" xfId="0" applyFill="1"/>
    <xf numFmtId="0" fontId="2" fillId="2" borderId="0" xfId="0" applyFont="1" applyFill="1" applyAlignment="1">
      <alignment horizontal="left" vertical="center"/>
    </xf>
    <xf numFmtId="0" fontId="1" fillId="2" borderId="0" xfId="0" applyFont="1" applyFill="1" applyAlignment="1">
      <alignment horizontal="right" vertical="center"/>
    </xf>
    <xf numFmtId="0" fontId="3" fillId="2" borderId="0" xfId="0" applyFont="1" applyFill="1" applyAlignment="1">
      <alignment horizontal="left" vertical="center"/>
    </xf>
    <xf numFmtId="0" fontId="4" fillId="2" borderId="0" xfId="0" applyFont="1" applyFill="1" applyAlignment="1">
      <alignment horizontal="right" vertical="center"/>
    </xf>
    <xf numFmtId="0" fontId="25" fillId="0" borderId="0" xfId="0" applyFont="1"/>
    <xf numFmtId="0" fontId="5" fillId="0" borderId="0" xfId="0" applyFont="1"/>
    <xf numFmtId="0" fontId="16" fillId="0" borderId="0" xfId="0" applyFont="1"/>
    <xf numFmtId="0" fontId="7" fillId="0" borderId="2" xfId="0" applyFont="1" applyBorder="1"/>
    <xf numFmtId="0" fontId="0" fillId="0" borderId="2" xfId="0" applyBorder="1"/>
    <xf numFmtId="0" fontId="1" fillId="2" borderId="1" xfId="0" applyFont="1" applyFill="1" applyBorder="1" applyAlignment="1">
      <alignment horizontal="center" vertical="center"/>
    </xf>
    <xf numFmtId="0" fontId="26" fillId="0" borderId="1" xfId="0" applyFont="1" applyBorder="1"/>
    <xf numFmtId="0" fontId="8" fillId="0" borderId="1" xfId="0" applyFont="1" applyBorder="1" applyAlignment="1">
      <alignment horizontal="left" vertical="center" wrapText="1"/>
    </xf>
    <xf numFmtId="0" fontId="16" fillId="0" borderId="1" xfId="0" applyFont="1" applyBorder="1" applyAlignment="1">
      <alignment horizontal="center" vertical="center"/>
    </xf>
    <xf numFmtId="0" fontId="8" fillId="0" borderId="1" xfId="0" applyFont="1" applyBorder="1"/>
    <xf numFmtId="0" fontId="12" fillId="0" borderId="0" xfId="0" applyFont="1" applyAlignment="1">
      <alignment horizontal="left" vertical="center" wrapText="1"/>
    </xf>
    <xf numFmtId="0" fontId="8" fillId="0" borderId="0" xfId="0" applyFont="1" applyAlignment="1">
      <alignment horizontal="left" vertical="center" wrapText="1"/>
    </xf>
    <xf numFmtId="0" fontId="2" fillId="2" borderId="0" xfId="0" applyFont="1" applyFill="1"/>
    <xf numFmtId="0" fontId="27" fillId="2" borderId="0" xfId="0" applyFont="1" applyFill="1"/>
    <xf numFmtId="0" fontId="1" fillId="2" borderId="0" xfId="0" applyFont="1" applyFill="1"/>
    <xf numFmtId="0" fontId="28" fillId="2" borderId="0" xfId="0" applyFont="1" applyFill="1"/>
    <xf numFmtId="0" fontId="29" fillId="2" borderId="0" xfId="0" applyFont="1" applyFill="1"/>
    <xf numFmtId="0" fontId="30" fillId="2" borderId="0" xfId="0" applyFont="1" applyFill="1"/>
    <xf numFmtId="0" fontId="31" fillId="2" borderId="0" xfId="0" applyFont="1" applyFill="1"/>
    <xf numFmtId="0" fontId="1" fillId="2" borderId="1" xfId="0" applyFont="1" applyFill="1" applyBorder="1"/>
    <xf numFmtId="0" fontId="0" fillId="0" borderId="1" xfId="0" applyBorder="1"/>
    <xf numFmtId="3" fontId="0" fillId="0" borderId="1" xfId="0" applyNumberFormat="1" applyBorder="1"/>
    <xf numFmtId="165" fontId="0" fillId="0" borderId="0" xfId="0" applyNumberFormat="1"/>
    <xf numFmtId="0" fontId="6" fillId="0" borderId="0" xfId="0" applyFont="1"/>
    <xf numFmtId="0" fontId="9" fillId="3" borderId="1" xfId="0" applyFont="1" applyFill="1" applyBorder="1" applyAlignment="1" applyProtection="1">
      <alignment horizontal="right" vertical="center"/>
      <protection locked="0"/>
    </xf>
    <xf numFmtId="0" fontId="16" fillId="0" borderId="0" xfId="0" applyFont="1" applyAlignment="1">
      <alignment horizontal="left" vertical="center" wrapText="1"/>
    </xf>
    <xf numFmtId="0" fontId="10" fillId="0" borderId="0" xfId="0" applyFont="1"/>
    <xf numFmtId="0" fontId="11" fillId="0" borderId="0" xfId="0" applyFont="1"/>
    <xf numFmtId="3" fontId="9" fillId="3" borderId="1" xfId="0" applyNumberFormat="1" applyFont="1" applyFill="1" applyBorder="1" applyAlignment="1" applyProtection="1">
      <alignment horizontal="right" vertical="center"/>
      <protection locked="0"/>
    </xf>
    <xf numFmtId="0" fontId="13" fillId="0" borderId="0" xfId="0" applyFont="1"/>
    <xf numFmtId="165" fontId="9" fillId="3" borderId="1" xfId="0" applyNumberFormat="1" applyFont="1" applyFill="1" applyBorder="1" applyAlignment="1" applyProtection="1">
      <alignment horizontal="right" vertical="center"/>
      <protection locked="0"/>
    </xf>
    <xf numFmtId="3" fontId="12" fillId="4" borderId="1" xfId="0" applyNumberFormat="1" applyFont="1" applyFill="1" applyBorder="1" applyAlignment="1">
      <alignment horizontal="right" vertical="center"/>
    </xf>
    <xf numFmtId="0" fontId="12" fillId="0" borderId="0" xfId="0" applyFont="1"/>
    <xf numFmtId="10" fontId="12" fillId="4" borderId="1" xfId="0" applyNumberFormat="1" applyFont="1" applyFill="1" applyBorder="1" applyAlignment="1">
      <alignment horizontal="right" vertical="center"/>
    </xf>
    <xf numFmtId="3" fontId="14" fillId="5" borderId="1" xfId="0" applyNumberFormat="1" applyFont="1" applyFill="1" applyBorder="1" applyAlignment="1">
      <alignment horizontal="right" vertical="center"/>
    </xf>
    <xf numFmtId="3" fontId="15" fillId="5" borderId="1" xfId="0" applyNumberFormat="1" applyFont="1" applyFill="1" applyBorder="1" applyAlignment="1">
      <alignment horizontal="right" vertical="center"/>
    </xf>
    <xf numFmtId="0" fontId="32" fillId="0" borderId="0" xfId="0" applyFont="1"/>
    <xf numFmtId="49" fontId="12" fillId="4" borderId="1" xfId="0" applyNumberFormat="1" applyFont="1" applyFill="1" applyBorder="1" applyAlignment="1">
      <alignment horizontal="right" vertical="center"/>
    </xf>
    <xf numFmtId="10" fontId="9" fillId="3" borderId="1" xfId="0" applyNumberFormat="1" applyFont="1" applyFill="1" applyBorder="1" applyAlignment="1" applyProtection="1">
      <alignment horizontal="right" vertical="center"/>
      <protection locked="0"/>
    </xf>
    <xf numFmtId="49" fontId="9" fillId="3" borderId="1" xfId="0" applyNumberFormat="1" applyFont="1" applyFill="1" applyBorder="1" applyAlignment="1" applyProtection="1">
      <alignment horizontal="right" vertical="center"/>
      <protection locked="0"/>
    </xf>
    <xf numFmtId="0" fontId="32" fillId="0" borderId="0" xfId="0" applyFont="1" applyAlignment="1">
      <alignment horizontal="left" vertical="center" wrapText="1"/>
    </xf>
    <xf numFmtId="3" fontId="0" fillId="0" borderId="0" xfId="0" applyNumberFormat="1"/>
    <xf numFmtId="10" fontId="0" fillId="0" borderId="0" xfId="0" applyNumberFormat="1"/>
    <xf numFmtId="0" fontId="1" fillId="6" borderId="1" xfId="0" applyFont="1" applyFill="1" applyBorder="1" applyAlignment="1">
      <alignment horizontal="center" vertical="center"/>
    </xf>
    <xf numFmtId="0" fontId="17" fillId="0" borderId="0" xfId="0" applyFont="1" applyAlignment="1">
      <alignment horizontal="left" vertical="center" wrapText="1"/>
    </xf>
    <xf numFmtId="3" fontId="18" fillId="6" borderId="1" xfId="0" applyNumberFormat="1" applyFont="1" applyFill="1" applyBorder="1" applyAlignment="1">
      <alignment horizontal="right" vertical="center"/>
    </xf>
    <xf numFmtId="3" fontId="18" fillId="2" borderId="1" xfId="0" applyNumberFormat="1" applyFont="1" applyFill="1" applyBorder="1" applyAlignment="1">
      <alignment horizontal="right" vertical="center"/>
    </xf>
    <xf numFmtId="0" fontId="14" fillId="0" borderId="0" xfId="0" applyFont="1" applyAlignment="1">
      <alignment horizontal="left"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right" vertical="center"/>
    </xf>
    <xf numFmtId="0" fontId="16" fillId="0" borderId="1" xfId="0" applyFont="1" applyBorder="1" applyAlignment="1">
      <alignment horizontal="left" vertical="center" wrapText="1"/>
    </xf>
    <xf numFmtId="165" fontId="16" fillId="0" borderId="1" xfId="0" applyNumberFormat="1" applyFont="1" applyBorder="1"/>
    <xf numFmtId="3" fontId="16" fillId="0" borderId="1" xfId="0" applyNumberFormat="1" applyFont="1" applyBorder="1" applyAlignment="1">
      <alignment horizontal="right" vertical="center"/>
    </xf>
    <xf numFmtId="10" fontId="16" fillId="0" borderId="1" xfId="0" applyNumberFormat="1" applyFont="1" applyBorder="1" applyAlignment="1">
      <alignment horizontal="right" vertical="center"/>
    </xf>
    <xf numFmtId="4" fontId="16" fillId="0" borderId="1" xfId="0" applyNumberFormat="1" applyFont="1" applyBorder="1" applyAlignment="1">
      <alignment horizontal="right" vertical="center"/>
    </xf>
    <xf numFmtId="165" fontId="0" fillId="0" borderId="1" xfId="0" applyNumberFormat="1" applyBorder="1"/>
    <xf numFmtId="10" fontId="0" fillId="0" borderId="1" xfId="0" applyNumberFormat="1" applyBorder="1"/>
    <xf numFmtId="165" fontId="9" fillId="3" borderId="1" xfId="0" applyNumberFormat="1" applyFont="1" applyFill="1" applyBorder="1" applyProtection="1">
      <protection locked="0"/>
    </xf>
    <xf numFmtId="0" fontId="9" fillId="3" borderId="1" xfId="0" applyFont="1" applyFill="1" applyBorder="1" applyProtection="1">
      <protection locked="0"/>
    </xf>
    <xf numFmtId="10" fontId="9" fillId="3" borderId="1" xfId="0" applyNumberFormat="1" applyFont="1" applyFill="1" applyBorder="1" applyProtection="1">
      <protection locked="0"/>
    </xf>
    <xf numFmtId="0" fontId="21" fillId="0" borderId="0" xfId="0" applyFont="1"/>
    <xf numFmtId="0" fontId="8" fillId="0" borderId="0" xfId="0" applyFont="1" applyAlignment="1">
      <alignment horizontal="left" vertical="center" wrapText="1"/>
    </xf>
    <xf numFmtId="0" fontId="0" fillId="0" borderId="0" xfId="0"/>
    <xf numFmtId="0" fontId="24" fillId="8" borderId="0" xfId="0" applyFont="1" applyFill="1" applyAlignment="1">
      <alignment horizontal="center" vertical="center"/>
    </xf>
    <xf numFmtId="0" fontId="21" fillId="7" borderId="0" xfId="0" applyFont="1" applyFill="1" applyAlignment="1">
      <alignment horizontal="center" vertical="center" wrapText="1"/>
    </xf>
    <xf numFmtId="0" fontId="11" fillId="0" borderId="0" xfId="0" applyFont="1"/>
    <xf numFmtId="0" fontId="9" fillId="3" borderId="1" xfId="0" applyFont="1" applyFill="1" applyBorder="1" applyAlignment="1" applyProtection="1">
      <alignment horizontal="right" vertical="center"/>
      <protection locked="0"/>
    </xf>
    <xf numFmtId="0" fontId="22" fillId="0" borderId="0" xfId="0" applyFont="1" applyAlignment="1">
      <alignment horizontal="center" vertical="center"/>
    </xf>
    <xf numFmtId="0" fontId="23" fillId="8" borderId="0" xfId="0" applyFont="1" applyFill="1" applyAlignment="1">
      <alignment horizontal="center" vertical="center" wrapText="1"/>
    </xf>
    <xf numFmtId="49" fontId="12" fillId="4" borderId="1" xfId="0" applyNumberFormat="1" applyFont="1" applyFill="1" applyBorder="1" applyAlignment="1">
      <alignment horizontal="right" vertical="center"/>
    </xf>
    <xf numFmtId="0" fontId="0" fillId="0" borderId="3" xfId="0" applyBorder="1"/>
    <xf numFmtId="0" fontId="0" fillId="0" borderId="4" xfId="0" applyBorder="1"/>
    <xf numFmtId="49" fontId="9" fillId="3" borderId="1" xfId="0" applyNumberFormat="1"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3" fontId="15" fillId="5" borderId="1" xfId="0" applyNumberFormat="1" applyFont="1" applyFill="1" applyBorder="1" applyAlignment="1">
      <alignment horizontal="right" vertical="center"/>
    </xf>
    <xf numFmtId="0" fontId="12" fillId="4" borderId="1" xfId="0" applyFont="1" applyFill="1" applyBorder="1" applyAlignment="1">
      <alignment horizontal="left" vertical="center" wrapText="1"/>
    </xf>
    <xf numFmtId="165" fontId="9" fillId="3" borderId="1" xfId="0" applyNumberFormat="1" applyFont="1" applyFill="1" applyBorder="1" applyAlignment="1" applyProtection="1">
      <alignment horizontal="right" vertical="center"/>
      <protection locked="0"/>
    </xf>
    <xf numFmtId="0" fontId="19" fillId="0" borderId="0" xfId="0" applyFont="1" applyAlignment="1">
      <alignment horizontal="left" vertical="center" wrapText="1"/>
    </xf>
    <xf numFmtId="0" fontId="21" fillId="7" borderId="0" xfId="0" applyFont="1" applyFill="1" applyAlignment="1">
      <alignment horizontal="center" vertical="center"/>
    </xf>
    <xf numFmtId="0" fontId="16" fillId="0" borderId="0" xfId="0" applyFont="1" applyAlignment="1">
      <alignment horizontal="left" vertical="center" wrapText="1"/>
    </xf>
    <xf numFmtId="3" fontId="9" fillId="3" borderId="1" xfId="0" applyNumberFormat="1" applyFont="1" applyFill="1" applyBorder="1" applyAlignment="1" applyProtection="1">
      <alignment horizontal="right" vertical="center"/>
      <protection locked="0"/>
    </xf>
    <xf numFmtId="0" fontId="20" fillId="0" borderId="0" xfId="0" applyFont="1" applyAlignment="1">
      <alignment horizontal="left" vertical="center" wrapText="1"/>
    </xf>
  </cellXfs>
  <cellStyles count="1">
    <cellStyle name="Normal" xfId="0" builtinId="0"/>
  </cellStyles>
  <dxfs count="30">
    <dxf>
      <font>
        <sz val="10"/>
        <color rgb="FFF5F5F5"/>
        <name val="Calibri"/>
      </font>
      <fill>
        <patternFill patternType="solid">
          <fgColor rgb="FFF5F5F5"/>
          <bgColor rgb="FFF5F5F5"/>
        </patternFill>
      </fill>
      <border>
        <left/>
        <right/>
        <top/>
        <bottom/>
      </border>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9"/>
        <color rgb="FFF5F5F5"/>
        <name val="Calibri"/>
      </font>
      <fill>
        <patternFill patternType="solid">
          <fgColor rgb="FFF5F5F5"/>
          <bgColor rgb="FFF5F5F5"/>
        </patternFill>
      </fill>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
      <font>
        <sz val="10"/>
        <color rgb="FFF5F5F5"/>
        <name val="Calibri"/>
      </font>
      <fill>
        <patternFill patternType="solid">
          <fgColor rgb="FFF5F5F5"/>
          <bgColor rgb="FFF5F5F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inkedin.com/in/jaime-alonso-cano-pino-a11a6246/"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5" Type="http://schemas.openxmlformats.org/officeDocument/2006/relationships/hyperlink" Target="https://www.tribai.co/" TargetMode="External"/><Relationship Id="rId4" Type="http://schemas.openxmlformats.org/officeDocument/2006/relationships/hyperlink" Target="https://www.inplux.c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5" Type="http://schemas.openxmlformats.org/officeDocument/2006/relationships/hyperlink" Target="https://www.linkedin.com/in/jaime-alonso-cano-pino-a11a6246/" TargetMode="External"/><Relationship Id="rId4" Type="http://schemas.openxmlformats.org/officeDocument/2006/relationships/hyperlink" Target="https://www.tribai.c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5" Type="http://schemas.openxmlformats.org/officeDocument/2006/relationships/hyperlink" Target="https://www.linkedin.com/in/jaime-alonso-cano-pino-a11a6246/" TargetMode="External"/><Relationship Id="rId4" Type="http://schemas.openxmlformats.org/officeDocument/2006/relationships/hyperlink" Target="https://www.tribai.c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5" Type="http://schemas.openxmlformats.org/officeDocument/2006/relationships/hyperlink" Target="https://www.linkedin.com/in/jaime-alonso-cano-pino-a11a6246/" TargetMode="External"/><Relationship Id="rId4" Type="http://schemas.openxmlformats.org/officeDocument/2006/relationships/hyperlink" Target="https://www.tribai.c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5" Type="http://schemas.openxmlformats.org/officeDocument/2006/relationships/hyperlink" Target="https://www.linkedin.com/in/jaime-alonso-cano-pino-a11a6246/" TargetMode="External"/><Relationship Id="rId4" Type="http://schemas.openxmlformats.org/officeDocument/2006/relationships/hyperlink" Target="https://www.tribai.c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4" Type="http://schemas.openxmlformats.org/officeDocument/2006/relationships/hyperlink" Target="https://www.tribai.c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tribai.co/" TargetMode="External"/><Relationship Id="rId2" Type="http://schemas.openxmlformats.org/officeDocument/2006/relationships/hyperlink" Target="https://www.inplux.co/" TargetMode="External"/><Relationship Id="rId1" Type="http://schemas.openxmlformats.org/officeDocument/2006/relationships/hyperlink" Target="https://www.tribai.co/" TargetMode="External"/><Relationship Id="rId4" Type="http://schemas.openxmlformats.org/officeDocument/2006/relationships/hyperlink" Target="https://www.linkedin.com/in/jaime-alonso-cano-pino-a11a62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1628"/>
    <pageSetUpPr fitToPage="1"/>
  </sheetPr>
  <dimension ref="A2:F70"/>
  <sheetViews>
    <sheetView topLeftCell="A49" workbookViewId="0"/>
  </sheetViews>
  <sheetFormatPr baseColWidth="10" defaultColWidth="8.83203125" defaultRowHeight="15" x14ac:dyDescent="0.2"/>
  <cols>
    <col min="1" max="1" width="3" customWidth="1"/>
    <col min="2" max="2" width="50" customWidth="1"/>
    <col min="3" max="3" width="60" customWidth="1"/>
    <col min="4" max="4" width="24" customWidth="1"/>
  </cols>
  <sheetData>
    <row r="2" spans="1:6" ht="28" customHeight="1" x14ac:dyDescent="0.2">
      <c r="A2" s="1"/>
      <c r="B2" s="2" t="s">
        <v>0</v>
      </c>
      <c r="C2" s="1"/>
      <c r="D2" s="1"/>
      <c r="E2" s="3" t="s">
        <v>1</v>
      </c>
    </row>
    <row r="3" spans="1:6" ht="18" customHeight="1" x14ac:dyDescent="0.2">
      <c r="A3" s="1"/>
      <c r="B3" s="4" t="s">
        <v>2</v>
      </c>
      <c r="C3" s="1"/>
      <c r="D3" s="1"/>
      <c r="E3" s="5" t="s">
        <v>3</v>
      </c>
    </row>
    <row r="4" spans="1:6" x14ac:dyDescent="0.2">
      <c r="B4" s="6" t="s">
        <v>4</v>
      </c>
    </row>
    <row r="6" spans="1:6" ht="21" x14ac:dyDescent="0.25">
      <c r="B6" s="7" t="s">
        <v>5</v>
      </c>
    </row>
    <row r="7" spans="1:6" x14ac:dyDescent="0.2">
      <c r="B7" s="8" t="s">
        <v>6</v>
      </c>
    </row>
    <row r="9" spans="1:6" ht="16" x14ac:dyDescent="0.2">
      <c r="B9" s="9" t="s">
        <v>7</v>
      </c>
      <c r="C9" s="10"/>
      <c r="D9" s="10"/>
      <c r="E9" s="10"/>
      <c r="F9" s="10"/>
    </row>
    <row r="11" spans="1:6" x14ac:dyDescent="0.2">
      <c r="B11" s="11" t="s">
        <v>8</v>
      </c>
      <c r="C11" s="11" t="s">
        <v>9</v>
      </c>
      <c r="D11" s="11" t="s">
        <v>10</v>
      </c>
    </row>
    <row r="12" spans="1:6" ht="16" x14ac:dyDescent="0.2">
      <c r="B12" s="12" t="s">
        <v>11</v>
      </c>
      <c r="C12" s="13" t="s">
        <v>12</v>
      </c>
      <c r="D12" s="14" t="s">
        <v>13</v>
      </c>
    </row>
    <row r="13" spans="1:6" ht="16" x14ac:dyDescent="0.2">
      <c r="B13" s="12" t="s">
        <v>14</v>
      </c>
      <c r="C13" s="13" t="s">
        <v>15</v>
      </c>
      <c r="D13" s="14" t="s">
        <v>16</v>
      </c>
    </row>
    <row r="14" spans="1:6" ht="16" x14ac:dyDescent="0.2">
      <c r="B14" s="12" t="s">
        <v>17</v>
      </c>
      <c r="C14" s="13" t="s">
        <v>18</v>
      </c>
      <c r="D14" s="14" t="s">
        <v>19</v>
      </c>
    </row>
    <row r="15" spans="1:6" ht="16" x14ac:dyDescent="0.2">
      <c r="B15" s="12" t="s">
        <v>20</v>
      </c>
      <c r="C15" s="13" t="s">
        <v>21</v>
      </c>
      <c r="D15" s="14" t="s">
        <v>22</v>
      </c>
    </row>
    <row r="16" spans="1:6" ht="16" x14ac:dyDescent="0.2">
      <c r="B16" s="12" t="s">
        <v>23</v>
      </c>
      <c r="C16" s="13" t="s">
        <v>24</v>
      </c>
      <c r="D16" s="14" t="s">
        <v>25</v>
      </c>
    </row>
    <row r="19" spans="1:6" ht="16" x14ac:dyDescent="0.2">
      <c r="B19" s="9" t="s">
        <v>26</v>
      </c>
      <c r="C19" s="10"/>
      <c r="D19" s="10"/>
      <c r="E19" s="10"/>
      <c r="F19" s="10"/>
    </row>
    <row r="20" spans="1:6" ht="16" x14ac:dyDescent="0.2">
      <c r="B20" s="12" t="s">
        <v>27</v>
      </c>
      <c r="C20" s="15" t="s">
        <v>28</v>
      </c>
    </row>
    <row r="22" spans="1:6" ht="16" x14ac:dyDescent="0.2">
      <c r="B22" s="9" t="s">
        <v>29</v>
      </c>
      <c r="C22" s="10"/>
      <c r="D22" s="10"/>
      <c r="E22" s="10"/>
      <c r="F22" s="10"/>
    </row>
    <row r="23" spans="1:6" x14ac:dyDescent="0.2">
      <c r="B23" s="16" t="s">
        <v>30</v>
      </c>
      <c r="C23" s="17" t="s">
        <v>31</v>
      </c>
    </row>
    <row r="24" spans="1:6" x14ac:dyDescent="0.2">
      <c r="B24" s="16" t="s">
        <v>32</v>
      </c>
      <c r="C24" s="17" t="s">
        <v>33</v>
      </c>
    </row>
    <row r="25" spans="1:6" x14ac:dyDescent="0.2">
      <c r="B25" s="16" t="s">
        <v>34</v>
      </c>
      <c r="C25" s="17" t="s">
        <v>35</v>
      </c>
    </row>
    <row r="27" spans="1:6" ht="16" x14ac:dyDescent="0.2">
      <c r="B27" s="9" t="s">
        <v>36</v>
      </c>
      <c r="C27" s="10"/>
      <c r="D27" s="10"/>
      <c r="E27" s="10"/>
      <c r="F27" s="10"/>
    </row>
    <row r="28" spans="1:6" ht="65" customHeight="1" x14ac:dyDescent="0.2">
      <c r="B28" s="67" t="s">
        <v>37</v>
      </c>
      <c r="C28" s="68"/>
      <c r="D28" s="68"/>
    </row>
    <row r="31" spans="1:6" ht="19" x14ac:dyDescent="0.25">
      <c r="A31" s="1"/>
      <c r="B31" s="18" t="s">
        <v>38</v>
      </c>
      <c r="C31" s="1"/>
      <c r="D31" s="1"/>
    </row>
    <row r="32" spans="1:6" x14ac:dyDescent="0.2">
      <c r="A32" s="1"/>
      <c r="B32" s="19"/>
      <c r="C32" s="1"/>
      <c r="D32" s="1"/>
    </row>
    <row r="33" spans="1:4" x14ac:dyDescent="0.2">
      <c r="A33" s="1"/>
      <c r="B33" s="20" t="s">
        <v>39</v>
      </c>
      <c r="C33" s="1"/>
      <c r="D33" s="1"/>
    </row>
    <row r="34" spans="1:4" x14ac:dyDescent="0.2">
      <c r="A34" s="1"/>
      <c r="B34" s="19"/>
      <c r="C34" s="1"/>
      <c r="D34" s="1"/>
    </row>
    <row r="35" spans="1:4" x14ac:dyDescent="0.2">
      <c r="A35" s="1"/>
      <c r="B35" s="19" t="s">
        <v>40</v>
      </c>
      <c r="C35" s="1"/>
      <c r="D35" s="1"/>
    </row>
    <row r="36" spans="1:4" x14ac:dyDescent="0.2">
      <c r="A36" s="1"/>
      <c r="B36" s="19" t="s">
        <v>41</v>
      </c>
      <c r="C36" s="1"/>
      <c r="D36" s="1"/>
    </row>
    <row r="37" spans="1:4" x14ac:dyDescent="0.2">
      <c r="A37" s="1"/>
      <c r="B37" s="19" t="s">
        <v>42</v>
      </c>
      <c r="C37" s="1"/>
      <c r="D37" s="1"/>
    </row>
    <row r="38" spans="1:4" x14ac:dyDescent="0.2">
      <c r="A38" s="1"/>
      <c r="B38" s="19" t="s">
        <v>43</v>
      </c>
      <c r="C38" s="1"/>
      <c r="D38" s="1"/>
    </row>
    <row r="39" spans="1:4" x14ac:dyDescent="0.2">
      <c r="A39" s="1"/>
      <c r="B39" s="19"/>
      <c r="C39" s="1"/>
      <c r="D39" s="1"/>
    </row>
    <row r="40" spans="1:4" x14ac:dyDescent="0.2">
      <c r="A40" s="1"/>
      <c r="B40" s="20" t="s">
        <v>44</v>
      </c>
      <c r="C40" s="1"/>
      <c r="D40" s="1"/>
    </row>
    <row r="41" spans="1:4" x14ac:dyDescent="0.2">
      <c r="A41" s="1"/>
      <c r="B41" s="19"/>
      <c r="C41" s="1"/>
      <c r="D41" s="1"/>
    </row>
    <row r="42" spans="1:4" x14ac:dyDescent="0.2">
      <c r="A42" s="1"/>
      <c r="B42" s="19" t="s">
        <v>45</v>
      </c>
      <c r="C42" s="1"/>
      <c r="D42" s="1"/>
    </row>
    <row r="43" spans="1:4" x14ac:dyDescent="0.2">
      <c r="A43" s="1"/>
      <c r="B43" s="19" t="s">
        <v>46</v>
      </c>
      <c r="C43" s="1"/>
      <c r="D43" s="1"/>
    </row>
    <row r="44" spans="1:4" x14ac:dyDescent="0.2">
      <c r="A44" s="1"/>
      <c r="B44" s="19"/>
      <c r="C44" s="1"/>
      <c r="D44" s="1"/>
    </row>
    <row r="45" spans="1:4" x14ac:dyDescent="0.2">
      <c r="A45" s="1"/>
      <c r="B45" s="20" t="s">
        <v>47</v>
      </c>
      <c r="C45" s="1"/>
      <c r="D45" s="1"/>
    </row>
    <row r="46" spans="1:4" x14ac:dyDescent="0.2">
      <c r="A46" s="1"/>
      <c r="B46" s="19"/>
      <c r="C46" s="1"/>
      <c r="D46" s="1"/>
    </row>
    <row r="47" spans="1:4" x14ac:dyDescent="0.2">
      <c r="A47" s="1"/>
      <c r="B47" s="19" t="s">
        <v>48</v>
      </c>
      <c r="C47" s="1"/>
      <c r="D47" s="1"/>
    </row>
    <row r="48" spans="1:4" x14ac:dyDescent="0.2">
      <c r="A48" s="1"/>
      <c r="B48" s="19" t="s">
        <v>49</v>
      </c>
      <c r="C48" s="1"/>
      <c r="D48" s="1"/>
    </row>
    <row r="49" spans="1:4" x14ac:dyDescent="0.2">
      <c r="A49" s="1"/>
      <c r="B49" s="19" t="s">
        <v>50</v>
      </c>
      <c r="C49" s="1"/>
      <c r="D49" s="1"/>
    </row>
    <row r="50" spans="1:4" x14ac:dyDescent="0.2">
      <c r="A50" s="1"/>
      <c r="B50" s="19"/>
      <c r="C50" s="1"/>
      <c r="D50" s="1"/>
    </row>
    <row r="51" spans="1:4" x14ac:dyDescent="0.2">
      <c r="A51" s="1"/>
      <c r="B51" s="20" t="s">
        <v>51</v>
      </c>
      <c r="C51" s="1"/>
      <c r="D51" s="1"/>
    </row>
    <row r="52" spans="1:4" x14ac:dyDescent="0.2">
      <c r="A52" s="1"/>
      <c r="B52" s="19"/>
      <c r="C52" s="1"/>
      <c r="D52" s="1"/>
    </row>
    <row r="53" spans="1:4" x14ac:dyDescent="0.2">
      <c r="A53" s="1"/>
      <c r="B53" s="19" t="s">
        <v>52</v>
      </c>
      <c r="C53" s="1"/>
      <c r="D53" s="1"/>
    </row>
    <row r="54" spans="1:4" ht="16" x14ac:dyDescent="0.2">
      <c r="A54" s="1"/>
      <c r="B54" s="21" t="s">
        <v>53</v>
      </c>
      <c r="C54" s="1"/>
      <c r="D54" s="1"/>
    </row>
    <row r="55" spans="1:4" x14ac:dyDescent="0.2">
      <c r="A55" s="1"/>
      <c r="B55" s="22" t="s">
        <v>54</v>
      </c>
      <c r="C55" s="1"/>
      <c r="D55" s="1"/>
    </row>
    <row r="56" spans="1:4" x14ac:dyDescent="0.2">
      <c r="A56" s="1"/>
      <c r="B56" s="19"/>
      <c r="C56" s="1"/>
      <c r="D56" s="1"/>
    </row>
    <row r="57" spans="1:4" x14ac:dyDescent="0.2">
      <c r="A57" s="1"/>
      <c r="B57" s="20" t="s">
        <v>55</v>
      </c>
      <c r="C57" s="1"/>
      <c r="D57" s="1"/>
    </row>
    <row r="58" spans="1:4" x14ac:dyDescent="0.2">
      <c r="A58" s="1"/>
      <c r="B58" s="19"/>
      <c r="C58" s="1"/>
      <c r="D58" s="1"/>
    </row>
    <row r="59" spans="1:4" x14ac:dyDescent="0.2">
      <c r="A59" s="1"/>
      <c r="B59" s="19" t="s">
        <v>56</v>
      </c>
      <c r="C59" s="1"/>
      <c r="D59" s="1"/>
    </row>
    <row r="60" spans="1:4" x14ac:dyDescent="0.2">
      <c r="A60" s="1"/>
      <c r="B60" s="19" t="s">
        <v>57</v>
      </c>
      <c r="C60" s="1"/>
      <c r="D60" s="1"/>
    </row>
    <row r="61" spans="1:4" x14ac:dyDescent="0.2">
      <c r="A61" s="1"/>
      <c r="B61" s="19"/>
      <c r="C61" s="1"/>
      <c r="D61" s="1"/>
    </row>
    <row r="62" spans="1:4" x14ac:dyDescent="0.2">
      <c r="A62" s="1"/>
      <c r="B62" s="23" t="s">
        <v>58</v>
      </c>
      <c r="C62" s="1"/>
      <c r="D62" s="1"/>
    </row>
    <row r="63" spans="1:4" x14ac:dyDescent="0.2">
      <c r="A63" s="1"/>
      <c r="B63" s="23" t="s">
        <v>59</v>
      </c>
      <c r="C63" s="1"/>
      <c r="D63" s="1"/>
    </row>
    <row r="64" spans="1:4" x14ac:dyDescent="0.2">
      <c r="A64" s="1"/>
      <c r="B64" s="19"/>
      <c r="C64" s="1"/>
      <c r="D64" s="1"/>
    </row>
    <row r="65" spans="1:4" x14ac:dyDescent="0.2">
      <c r="A65" s="1"/>
      <c r="B65" s="24" t="s">
        <v>60</v>
      </c>
      <c r="C65" s="1"/>
      <c r="D65" s="1"/>
    </row>
    <row r="66" spans="1:4" x14ac:dyDescent="0.2">
      <c r="A66" s="1"/>
      <c r="B66" s="19"/>
      <c r="C66" s="1"/>
      <c r="D66" s="1"/>
    </row>
    <row r="67" spans="1:4" x14ac:dyDescent="0.2">
      <c r="A67" s="1"/>
      <c r="B67" s="19" t="s">
        <v>61</v>
      </c>
      <c r="C67" s="1"/>
      <c r="D67" s="1"/>
    </row>
    <row r="68" spans="1:4" x14ac:dyDescent="0.2">
      <c r="A68" s="1"/>
      <c r="B68" s="1"/>
      <c r="C68" s="1"/>
      <c r="D68" s="1"/>
    </row>
    <row r="69" spans="1:4" x14ac:dyDescent="0.2">
      <c r="A69" s="1"/>
      <c r="B69" s="1"/>
      <c r="C69" s="1"/>
      <c r="D69" s="1"/>
    </row>
    <row r="70" spans="1:4" x14ac:dyDescent="0.2">
      <c r="A70" s="1"/>
      <c r="B70" s="1"/>
      <c r="C70" s="1"/>
      <c r="D70" s="1"/>
    </row>
  </sheetData>
  <sheetProtection password="CEF4" sheet="1" objects="1" scenarios="1" formatCells="0" formatColumns="0" formatRows="0" sort="0" autoFilter="0"/>
  <mergeCells count="1">
    <mergeCell ref="B28:D28"/>
  </mergeCells>
  <hyperlinks>
    <hyperlink ref="B2" r:id="rId1" xr:uid="{00000000-0004-0000-0000-000000000000}"/>
    <hyperlink ref="E2" r:id="rId2" xr:uid="{00000000-0004-0000-0000-000001000000}"/>
    <hyperlink ref="B12" location="'1. Extemporaneidad'!B2" display="1. Extemporaneidad" xr:uid="{00000000-0004-0000-0000-000002000000}"/>
    <hyperlink ref="B13" location="'2. Corrección'!B2" display="2. Corrección" xr:uid="{00000000-0004-0000-0000-000003000000}"/>
    <hyperlink ref="B14" location="'3. Evasión pasiva'!B2" display="3. Evasión pasiva" xr:uid="{00000000-0004-0000-0000-000004000000}"/>
    <hyperlink ref="B15" location="'4. Info. exógena'!B2" display="4. Info. exógena" xr:uid="{00000000-0004-0000-0000-000005000000}"/>
    <hyperlink ref="B16" location="'5. Intereses'!B2" display="5. Intereses" xr:uid="{00000000-0004-0000-0000-000006000000}"/>
    <hyperlink ref="B20" location="'Tasas'!B1" display="Tasas" xr:uid="{00000000-0004-0000-0000-000007000000}"/>
    <hyperlink ref="B54" r:id="rId3" xr:uid="{00000000-0004-0000-0000-000008000000}"/>
    <hyperlink ref="B62" r:id="rId4" xr:uid="{00000000-0004-0000-0000-000009000000}"/>
    <hyperlink ref="B63" r:id="rId5" xr:uid="{00000000-0004-0000-0000-00000A000000}"/>
  </hyperlinks>
  <pageMargins left="0.4" right="0.4" top="0.5" bottom="0.6" header="0.2" footer="0.3"/>
  <pageSetup fitToHeight="0" orientation="portrait"/>
  <headerFooter>
    <oddHeader>&amp;C&amp;"Calibri,Bold"&amp;9 &amp;K0A1628Herramienta Integrada de Sanciones e Intereses</oddHeader>
    <oddFooter>&amp;L&amp;"Calibri"&amp;7 &amp;K6B7280tribai.co | INPLUX S.A.S.&amp;C&amp;"Calibri"&amp;7 &amp;P de &amp;N&amp;R&amp;"Calibri"&amp;7 &amp;K6B7280&amp;D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B7280"/>
  </sheetPr>
  <dimension ref="A1:J167"/>
  <sheetViews>
    <sheetView workbookViewId="0"/>
  </sheetViews>
  <sheetFormatPr baseColWidth="10" defaultColWidth="8.83203125" defaultRowHeight="15" x14ac:dyDescent="0.2"/>
  <sheetData>
    <row r="1" spans="1:10" x14ac:dyDescent="0.2">
      <c r="A1" s="25" t="s">
        <v>62</v>
      </c>
      <c r="B1" s="25" t="s">
        <v>63</v>
      </c>
      <c r="D1" s="25" t="s">
        <v>64</v>
      </c>
      <c r="F1" s="25" t="s">
        <v>65</v>
      </c>
      <c r="H1" s="25" t="s">
        <v>66</v>
      </c>
      <c r="J1" s="25" t="s">
        <v>67</v>
      </c>
    </row>
    <row r="2" spans="1:10" x14ac:dyDescent="0.2">
      <c r="A2" s="26">
        <v>2007</v>
      </c>
      <c r="B2" s="27">
        <v>20974</v>
      </c>
      <c r="D2" s="26" t="s">
        <v>68</v>
      </c>
      <c r="F2" s="26" t="s">
        <v>69</v>
      </c>
      <c r="H2" s="28">
        <v>42744</v>
      </c>
      <c r="J2" s="26" t="s">
        <v>70</v>
      </c>
    </row>
    <row r="3" spans="1:10" x14ac:dyDescent="0.2">
      <c r="A3" s="26">
        <v>2008</v>
      </c>
      <c r="B3" s="27">
        <v>22054</v>
      </c>
      <c r="D3" s="26" t="s">
        <v>71</v>
      </c>
      <c r="F3" s="26" t="s">
        <v>72</v>
      </c>
      <c r="H3" s="28">
        <v>42814</v>
      </c>
      <c r="J3" s="26" t="s">
        <v>73</v>
      </c>
    </row>
    <row r="4" spans="1:10" x14ac:dyDescent="0.2">
      <c r="A4" s="26">
        <v>2009</v>
      </c>
      <c r="B4" s="27">
        <v>23763</v>
      </c>
      <c r="D4" s="26" t="s">
        <v>74</v>
      </c>
      <c r="F4" s="26" t="s">
        <v>75</v>
      </c>
      <c r="H4" s="28">
        <v>42838</v>
      </c>
      <c r="J4" s="26" t="s">
        <v>76</v>
      </c>
    </row>
    <row r="5" spans="1:10" x14ac:dyDescent="0.2">
      <c r="A5" s="26">
        <v>2010</v>
      </c>
      <c r="B5" s="27">
        <v>24555</v>
      </c>
      <c r="D5" s="26" t="s">
        <v>77</v>
      </c>
      <c r="H5" s="28">
        <v>42839</v>
      </c>
      <c r="J5" s="26" t="s">
        <v>78</v>
      </c>
    </row>
    <row r="6" spans="1:10" x14ac:dyDescent="0.2">
      <c r="A6" s="26">
        <v>2011</v>
      </c>
      <c r="B6" s="27">
        <v>25132</v>
      </c>
      <c r="D6" s="26" t="s">
        <v>79</v>
      </c>
      <c r="H6" s="28">
        <v>42856</v>
      </c>
    </row>
    <row r="7" spans="1:10" x14ac:dyDescent="0.2">
      <c r="A7" s="26">
        <v>2012</v>
      </c>
      <c r="B7" s="27">
        <v>26049</v>
      </c>
      <c r="D7" s="26" t="s">
        <v>80</v>
      </c>
      <c r="H7" s="28">
        <v>42884</v>
      </c>
    </row>
    <row r="8" spans="1:10" x14ac:dyDescent="0.2">
      <c r="A8" s="26">
        <v>2013</v>
      </c>
      <c r="B8" s="27">
        <v>26841</v>
      </c>
      <c r="D8" s="26" t="s">
        <v>81</v>
      </c>
      <c r="H8" s="28">
        <v>42905</v>
      </c>
    </row>
    <row r="9" spans="1:10" x14ac:dyDescent="0.2">
      <c r="A9" s="26">
        <v>2014</v>
      </c>
      <c r="B9" s="27">
        <v>27485</v>
      </c>
      <c r="D9" s="26" t="s">
        <v>82</v>
      </c>
      <c r="H9" s="28">
        <v>42912</v>
      </c>
    </row>
    <row r="10" spans="1:10" x14ac:dyDescent="0.2">
      <c r="A10" s="26">
        <v>2015</v>
      </c>
      <c r="B10" s="27">
        <v>28279</v>
      </c>
      <c r="D10" s="26" t="s">
        <v>83</v>
      </c>
      <c r="H10" s="28">
        <v>42919</v>
      </c>
    </row>
    <row r="11" spans="1:10" x14ac:dyDescent="0.2">
      <c r="A11" s="26">
        <v>2016</v>
      </c>
      <c r="B11" s="27">
        <v>29753</v>
      </c>
      <c r="D11" s="26" t="s">
        <v>84</v>
      </c>
      <c r="H11" s="28">
        <v>42936</v>
      </c>
    </row>
    <row r="12" spans="1:10" x14ac:dyDescent="0.2">
      <c r="A12" s="26">
        <v>2017</v>
      </c>
      <c r="B12" s="27">
        <v>31859</v>
      </c>
      <c r="D12" s="26" t="s">
        <v>85</v>
      </c>
      <c r="H12" s="28">
        <v>42954</v>
      </c>
    </row>
    <row r="13" spans="1:10" x14ac:dyDescent="0.2">
      <c r="A13" s="26">
        <v>2018</v>
      </c>
      <c r="B13" s="27">
        <v>33156</v>
      </c>
      <c r="H13" s="28">
        <v>42968</v>
      </c>
    </row>
    <row r="14" spans="1:10" x14ac:dyDescent="0.2">
      <c r="A14" s="26">
        <v>2019</v>
      </c>
      <c r="B14" s="27">
        <v>34270</v>
      </c>
      <c r="H14" s="28">
        <v>43024</v>
      </c>
    </row>
    <row r="15" spans="1:10" x14ac:dyDescent="0.2">
      <c r="A15" s="26">
        <v>2020</v>
      </c>
      <c r="B15" s="27">
        <v>35607</v>
      </c>
      <c r="H15" s="28">
        <v>43045</v>
      </c>
    </row>
    <row r="16" spans="1:10" x14ac:dyDescent="0.2">
      <c r="A16" s="26">
        <v>2021</v>
      </c>
      <c r="B16" s="27">
        <v>36308</v>
      </c>
      <c r="H16" s="28">
        <v>43052</v>
      </c>
    </row>
    <row r="17" spans="1:8" x14ac:dyDescent="0.2">
      <c r="A17" s="26">
        <v>2022</v>
      </c>
      <c r="B17" s="27">
        <v>38004</v>
      </c>
      <c r="H17" s="28">
        <v>43077</v>
      </c>
    </row>
    <row r="18" spans="1:8" x14ac:dyDescent="0.2">
      <c r="A18" s="26">
        <v>2023</v>
      </c>
      <c r="B18" s="27">
        <v>42412</v>
      </c>
      <c r="H18" s="28">
        <v>43094</v>
      </c>
    </row>
    <row r="19" spans="1:8" x14ac:dyDescent="0.2">
      <c r="A19" s="26">
        <v>2024</v>
      </c>
      <c r="B19" s="27">
        <v>47065</v>
      </c>
      <c r="H19" s="28">
        <v>43101</v>
      </c>
    </row>
    <row r="20" spans="1:8" x14ac:dyDescent="0.2">
      <c r="A20" s="26">
        <v>2025</v>
      </c>
      <c r="B20" s="27">
        <v>49799</v>
      </c>
      <c r="H20" s="28">
        <v>43108</v>
      </c>
    </row>
    <row r="21" spans="1:8" x14ac:dyDescent="0.2">
      <c r="A21" s="26">
        <v>2026</v>
      </c>
      <c r="B21" s="27">
        <v>52374</v>
      </c>
      <c r="H21" s="28">
        <v>43178</v>
      </c>
    </row>
    <row r="22" spans="1:8" x14ac:dyDescent="0.2">
      <c r="H22" s="28">
        <v>43188</v>
      </c>
    </row>
    <row r="23" spans="1:8" x14ac:dyDescent="0.2">
      <c r="H23" s="28">
        <v>43189</v>
      </c>
    </row>
    <row r="24" spans="1:8" x14ac:dyDescent="0.2">
      <c r="H24" s="28">
        <v>43221</v>
      </c>
    </row>
    <row r="25" spans="1:8" x14ac:dyDescent="0.2">
      <c r="H25" s="28">
        <v>43234</v>
      </c>
    </row>
    <row r="26" spans="1:8" x14ac:dyDescent="0.2">
      <c r="H26" s="28">
        <v>43255</v>
      </c>
    </row>
    <row r="27" spans="1:8" x14ac:dyDescent="0.2">
      <c r="H27" s="28">
        <v>43262</v>
      </c>
    </row>
    <row r="28" spans="1:8" x14ac:dyDescent="0.2">
      <c r="H28" s="28">
        <v>43283</v>
      </c>
    </row>
    <row r="29" spans="1:8" x14ac:dyDescent="0.2">
      <c r="H29" s="28">
        <v>43301</v>
      </c>
    </row>
    <row r="30" spans="1:8" x14ac:dyDescent="0.2">
      <c r="H30" s="28">
        <v>43319</v>
      </c>
    </row>
    <row r="31" spans="1:8" x14ac:dyDescent="0.2">
      <c r="H31" s="28">
        <v>43332</v>
      </c>
    </row>
    <row r="32" spans="1:8" x14ac:dyDescent="0.2">
      <c r="H32" s="28">
        <v>43388</v>
      </c>
    </row>
    <row r="33" spans="8:8" x14ac:dyDescent="0.2">
      <c r="H33" s="28">
        <v>43409</v>
      </c>
    </row>
    <row r="34" spans="8:8" x14ac:dyDescent="0.2">
      <c r="H34" s="28">
        <v>43416</v>
      </c>
    </row>
    <row r="35" spans="8:8" x14ac:dyDescent="0.2">
      <c r="H35" s="28">
        <v>43459</v>
      </c>
    </row>
    <row r="36" spans="8:8" x14ac:dyDescent="0.2">
      <c r="H36" s="28">
        <v>43466</v>
      </c>
    </row>
    <row r="37" spans="8:8" x14ac:dyDescent="0.2">
      <c r="H37" s="28">
        <v>43472</v>
      </c>
    </row>
    <row r="38" spans="8:8" x14ac:dyDescent="0.2">
      <c r="H38" s="28">
        <v>43549</v>
      </c>
    </row>
    <row r="39" spans="8:8" x14ac:dyDescent="0.2">
      <c r="H39" s="28">
        <v>43573</v>
      </c>
    </row>
    <row r="40" spans="8:8" x14ac:dyDescent="0.2">
      <c r="H40" s="28">
        <v>43574</v>
      </c>
    </row>
    <row r="41" spans="8:8" x14ac:dyDescent="0.2">
      <c r="H41" s="28">
        <v>43586</v>
      </c>
    </row>
    <row r="42" spans="8:8" x14ac:dyDescent="0.2">
      <c r="H42" s="28">
        <v>43619</v>
      </c>
    </row>
    <row r="43" spans="8:8" x14ac:dyDescent="0.2">
      <c r="H43" s="28">
        <v>43640</v>
      </c>
    </row>
    <row r="44" spans="8:8" x14ac:dyDescent="0.2">
      <c r="H44" s="28">
        <v>43647</v>
      </c>
    </row>
    <row r="45" spans="8:8" x14ac:dyDescent="0.2">
      <c r="H45" s="28">
        <v>43684</v>
      </c>
    </row>
    <row r="46" spans="8:8" x14ac:dyDescent="0.2">
      <c r="H46" s="28">
        <v>43696</v>
      </c>
    </row>
    <row r="47" spans="8:8" x14ac:dyDescent="0.2">
      <c r="H47" s="28">
        <v>43752</v>
      </c>
    </row>
    <row r="48" spans="8:8" x14ac:dyDescent="0.2">
      <c r="H48" s="28">
        <v>43773</v>
      </c>
    </row>
    <row r="49" spans="8:8" x14ac:dyDescent="0.2">
      <c r="H49" s="28">
        <v>43780</v>
      </c>
    </row>
    <row r="50" spans="8:8" x14ac:dyDescent="0.2">
      <c r="H50" s="28">
        <v>43824</v>
      </c>
    </row>
    <row r="51" spans="8:8" x14ac:dyDescent="0.2">
      <c r="H51" s="28">
        <v>43831</v>
      </c>
    </row>
    <row r="52" spans="8:8" x14ac:dyDescent="0.2">
      <c r="H52" s="28">
        <v>43836</v>
      </c>
    </row>
    <row r="53" spans="8:8" x14ac:dyDescent="0.2">
      <c r="H53" s="28">
        <v>43913</v>
      </c>
    </row>
    <row r="54" spans="8:8" x14ac:dyDescent="0.2">
      <c r="H54" s="28">
        <v>43930</v>
      </c>
    </row>
    <row r="55" spans="8:8" x14ac:dyDescent="0.2">
      <c r="H55" s="28">
        <v>43931</v>
      </c>
    </row>
    <row r="56" spans="8:8" x14ac:dyDescent="0.2">
      <c r="H56" s="28">
        <v>43952</v>
      </c>
    </row>
    <row r="57" spans="8:8" x14ac:dyDescent="0.2">
      <c r="H57" s="28">
        <v>43976</v>
      </c>
    </row>
    <row r="58" spans="8:8" x14ac:dyDescent="0.2">
      <c r="H58" s="28">
        <v>43997</v>
      </c>
    </row>
    <row r="59" spans="8:8" x14ac:dyDescent="0.2">
      <c r="H59" s="28">
        <v>44004</v>
      </c>
    </row>
    <row r="60" spans="8:8" x14ac:dyDescent="0.2">
      <c r="H60" s="28">
        <v>44011</v>
      </c>
    </row>
    <row r="61" spans="8:8" x14ac:dyDescent="0.2">
      <c r="H61" s="28">
        <v>44032</v>
      </c>
    </row>
    <row r="62" spans="8:8" x14ac:dyDescent="0.2">
      <c r="H62" s="28">
        <v>44050</v>
      </c>
    </row>
    <row r="63" spans="8:8" x14ac:dyDescent="0.2">
      <c r="H63" s="28">
        <v>44060</v>
      </c>
    </row>
    <row r="64" spans="8:8" x14ac:dyDescent="0.2">
      <c r="H64" s="28">
        <v>44116</v>
      </c>
    </row>
    <row r="65" spans="8:8" x14ac:dyDescent="0.2">
      <c r="H65" s="28">
        <v>44137</v>
      </c>
    </row>
    <row r="66" spans="8:8" x14ac:dyDescent="0.2">
      <c r="H66" s="28">
        <v>44151</v>
      </c>
    </row>
    <row r="67" spans="8:8" x14ac:dyDescent="0.2">
      <c r="H67" s="28">
        <v>44173</v>
      </c>
    </row>
    <row r="68" spans="8:8" x14ac:dyDescent="0.2">
      <c r="H68" s="28">
        <v>44190</v>
      </c>
    </row>
    <row r="69" spans="8:8" x14ac:dyDescent="0.2">
      <c r="H69" s="28">
        <v>44197</v>
      </c>
    </row>
    <row r="70" spans="8:8" x14ac:dyDescent="0.2">
      <c r="H70" s="28">
        <v>44207</v>
      </c>
    </row>
    <row r="71" spans="8:8" x14ac:dyDescent="0.2">
      <c r="H71" s="28">
        <v>44277</v>
      </c>
    </row>
    <row r="72" spans="8:8" x14ac:dyDescent="0.2">
      <c r="H72" s="28">
        <v>44287</v>
      </c>
    </row>
    <row r="73" spans="8:8" x14ac:dyDescent="0.2">
      <c r="H73" s="28">
        <v>44288</v>
      </c>
    </row>
    <row r="74" spans="8:8" x14ac:dyDescent="0.2">
      <c r="H74" s="28">
        <v>44333</v>
      </c>
    </row>
    <row r="75" spans="8:8" x14ac:dyDescent="0.2">
      <c r="H75" s="28">
        <v>44354</v>
      </c>
    </row>
    <row r="76" spans="8:8" x14ac:dyDescent="0.2">
      <c r="H76" s="28">
        <v>44361</v>
      </c>
    </row>
    <row r="77" spans="8:8" x14ac:dyDescent="0.2">
      <c r="H77" s="28">
        <v>44382</v>
      </c>
    </row>
    <row r="78" spans="8:8" x14ac:dyDescent="0.2">
      <c r="H78" s="28">
        <v>44397</v>
      </c>
    </row>
    <row r="79" spans="8:8" x14ac:dyDescent="0.2">
      <c r="H79" s="28">
        <v>44424</v>
      </c>
    </row>
    <row r="80" spans="8:8" x14ac:dyDescent="0.2">
      <c r="H80" s="28">
        <v>44487</v>
      </c>
    </row>
    <row r="81" spans="8:8" x14ac:dyDescent="0.2">
      <c r="H81" s="28">
        <v>44501</v>
      </c>
    </row>
    <row r="82" spans="8:8" x14ac:dyDescent="0.2">
      <c r="H82" s="28">
        <v>44515</v>
      </c>
    </row>
    <row r="83" spans="8:8" x14ac:dyDescent="0.2">
      <c r="H83" s="28">
        <v>44538</v>
      </c>
    </row>
    <row r="84" spans="8:8" x14ac:dyDescent="0.2">
      <c r="H84" s="28">
        <v>44562</v>
      </c>
    </row>
    <row r="85" spans="8:8" x14ac:dyDescent="0.2">
      <c r="H85" s="28">
        <v>44571</v>
      </c>
    </row>
    <row r="86" spans="8:8" x14ac:dyDescent="0.2">
      <c r="H86" s="28">
        <v>44641</v>
      </c>
    </row>
    <row r="87" spans="8:8" x14ac:dyDescent="0.2">
      <c r="H87" s="28">
        <v>44665</v>
      </c>
    </row>
    <row r="88" spans="8:8" x14ac:dyDescent="0.2">
      <c r="H88" s="28">
        <v>44666</v>
      </c>
    </row>
    <row r="89" spans="8:8" x14ac:dyDescent="0.2">
      <c r="H89" s="28">
        <v>44711</v>
      </c>
    </row>
    <row r="90" spans="8:8" x14ac:dyDescent="0.2">
      <c r="H90" s="28">
        <v>44732</v>
      </c>
    </row>
    <row r="91" spans="8:8" x14ac:dyDescent="0.2">
      <c r="H91" s="28">
        <v>44739</v>
      </c>
    </row>
    <row r="92" spans="8:8" x14ac:dyDescent="0.2">
      <c r="H92" s="28">
        <v>44746</v>
      </c>
    </row>
    <row r="93" spans="8:8" x14ac:dyDescent="0.2">
      <c r="H93" s="28">
        <v>44762</v>
      </c>
    </row>
    <row r="94" spans="8:8" x14ac:dyDescent="0.2">
      <c r="H94" s="28">
        <v>44788</v>
      </c>
    </row>
    <row r="95" spans="8:8" x14ac:dyDescent="0.2">
      <c r="H95" s="28">
        <v>44851</v>
      </c>
    </row>
    <row r="96" spans="8:8" x14ac:dyDescent="0.2">
      <c r="H96" s="28">
        <v>44872</v>
      </c>
    </row>
    <row r="97" spans="8:8" x14ac:dyDescent="0.2">
      <c r="H97" s="28">
        <v>44879</v>
      </c>
    </row>
    <row r="98" spans="8:8" x14ac:dyDescent="0.2">
      <c r="H98" s="28">
        <v>44903</v>
      </c>
    </row>
    <row r="99" spans="8:8" x14ac:dyDescent="0.2">
      <c r="H99" s="28">
        <v>44927</v>
      </c>
    </row>
    <row r="100" spans="8:8" x14ac:dyDescent="0.2">
      <c r="H100" s="28">
        <v>44935</v>
      </c>
    </row>
    <row r="101" spans="8:8" x14ac:dyDescent="0.2">
      <c r="H101" s="28">
        <v>45005</v>
      </c>
    </row>
    <row r="102" spans="8:8" x14ac:dyDescent="0.2">
      <c r="H102" s="28">
        <v>45022</v>
      </c>
    </row>
    <row r="103" spans="8:8" x14ac:dyDescent="0.2">
      <c r="H103" s="28">
        <v>45023</v>
      </c>
    </row>
    <row r="104" spans="8:8" x14ac:dyDescent="0.2">
      <c r="H104" s="28">
        <v>45047</v>
      </c>
    </row>
    <row r="105" spans="8:8" x14ac:dyDescent="0.2">
      <c r="H105" s="28">
        <v>45068</v>
      </c>
    </row>
    <row r="106" spans="8:8" x14ac:dyDescent="0.2">
      <c r="H106" s="28">
        <v>45089</v>
      </c>
    </row>
    <row r="107" spans="8:8" x14ac:dyDescent="0.2">
      <c r="H107" s="28">
        <v>45096</v>
      </c>
    </row>
    <row r="108" spans="8:8" x14ac:dyDescent="0.2">
      <c r="H108" s="28">
        <v>45110</v>
      </c>
    </row>
    <row r="109" spans="8:8" x14ac:dyDescent="0.2">
      <c r="H109" s="28">
        <v>45127</v>
      </c>
    </row>
    <row r="110" spans="8:8" x14ac:dyDescent="0.2">
      <c r="H110" s="28">
        <v>45145</v>
      </c>
    </row>
    <row r="111" spans="8:8" x14ac:dyDescent="0.2">
      <c r="H111" s="28">
        <v>45159</v>
      </c>
    </row>
    <row r="112" spans="8:8" x14ac:dyDescent="0.2">
      <c r="H112" s="28">
        <v>45215</v>
      </c>
    </row>
    <row r="113" spans="8:8" x14ac:dyDescent="0.2">
      <c r="H113" s="28">
        <v>45236</v>
      </c>
    </row>
    <row r="114" spans="8:8" x14ac:dyDescent="0.2">
      <c r="H114" s="28">
        <v>45243</v>
      </c>
    </row>
    <row r="115" spans="8:8" x14ac:dyDescent="0.2">
      <c r="H115" s="28">
        <v>45268</v>
      </c>
    </row>
    <row r="116" spans="8:8" x14ac:dyDescent="0.2">
      <c r="H116" s="28">
        <v>45285</v>
      </c>
    </row>
    <row r="117" spans="8:8" x14ac:dyDescent="0.2">
      <c r="H117" s="28">
        <v>45292</v>
      </c>
    </row>
    <row r="118" spans="8:8" x14ac:dyDescent="0.2">
      <c r="H118" s="28">
        <v>45299</v>
      </c>
    </row>
    <row r="119" spans="8:8" x14ac:dyDescent="0.2">
      <c r="H119" s="28">
        <v>45376</v>
      </c>
    </row>
    <row r="120" spans="8:8" x14ac:dyDescent="0.2">
      <c r="H120" s="28">
        <v>45379</v>
      </c>
    </row>
    <row r="121" spans="8:8" x14ac:dyDescent="0.2">
      <c r="H121" s="28">
        <v>45380</v>
      </c>
    </row>
    <row r="122" spans="8:8" x14ac:dyDescent="0.2">
      <c r="H122" s="28">
        <v>45413</v>
      </c>
    </row>
    <row r="123" spans="8:8" x14ac:dyDescent="0.2">
      <c r="H123" s="28">
        <v>45425</v>
      </c>
    </row>
    <row r="124" spans="8:8" x14ac:dyDescent="0.2">
      <c r="H124" s="28">
        <v>45446</v>
      </c>
    </row>
    <row r="125" spans="8:8" x14ac:dyDescent="0.2">
      <c r="H125" s="28">
        <v>45453</v>
      </c>
    </row>
    <row r="126" spans="8:8" x14ac:dyDescent="0.2">
      <c r="H126" s="28">
        <v>45474</v>
      </c>
    </row>
    <row r="127" spans="8:8" x14ac:dyDescent="0.2">
      <c r="H127" s="28">
        <v>45493</v>
      </c>
    </row>
    <row r="128" spans="8:8" x14ac:dyDescent="0.2">
      <c r="H128" s="28">
        <v>45511</v>
      </c>
    </row>
    <row r="129" spans="8:8" x14ac:dyDescent="0.2">
      <c r="H129" s="28">
        <v>45523</v>
      </c>
    </row>
    <row r="130" spans="8:8" x14ac:dyDescent="0.2">
      <c r="H130" s="28">
        <v>45579</v>
      </c>
    </row>
    <row r="131" spans="8:8" x14ac:dyDescent="0.2">
      <c r="H131" s="28">
        <v>45600</v>
      </c>
    </row>
    <row r="132" spans="8:8" x14ac:dyDescent="0.2">
      <c r="H132" s="28">
        <v>45607</v>
      </c>
    </row>
    <row r="133" spans="8:8" x14ac:dyDescent="0.2">
      <c r="H133" s="28">
        <v>45634</v>
      </c>
    </row>
    <row r="134" spans="8:8" x14ac:dyDescent="0.2">
      <c r="H134" s="28">
        <v>45651</v>
      </c>
    </row>
    <row r="135" spans="8:8" x14ac:dyDescent="0.2">
      <c r="H135" s="28">
        <v>45663</v>
      </c>
    </row>
    <row r="136" spans="8:8" x14ac:dyDescent="0.2">
      <c r="H136" s="28">
        <v>45740</v>
      </c>
    </row>
    <row r="137" spans="8:8" x14ac:dyDescent="0.2">
      <c r="H137" s="28">
        <v>45764</v>
      </c>
    </row>
    <row r="138" spans="8:8" x14ac:dyDescent="0.2">
      <c r="H138" s="28">
        <v>45765</v>
      </c>
    </row>
    <row r="139" spans="8:8" x14ac:dyDescent="0.2">
      <c r="H139" s="28">
        <v>45778</v>
      </c>
    </row>
    <row r="140" spans="8:8" x14ac:dyDescent="0.2">
      <c r="H140" s="28">
        <v>45810</v>
      </c>
    </row>
    <row r="141" spans="8:8" x14ac:dyDescent="0.2">
      <c r="H141" s="28">
        <v>45831</v>
      </c>
    </row>
    <row r="142" spans="8:8" x14ac:dyDescent="0.2">
      <c r="H142" s="28">
        <v>45838</v>
      </c>
    </row>
    <row r="143" spans="8:8" x14ac:dyDescent="0.2">
      <c r="H143" s="28">
        <v>45876</v>
      </c>
    </row>
    <row r="144" spans="8:8" x14ac:dyDescent="0.2">
      <c r="H144" s="28">
        <v>45887</v>
      </c>
    </row>
    <row r="145" spans="8:8" x14ac:dyDescent="0.2">
      <c r="H145" s="28">
        <v>45943</v>
      </c>
    </row>
    <row r="146" spans="8:8" x14ac:dyDescent="0.2">
      <c r="H146" s="28">
        <v>45964</v>
      </c>
    </row>
    <row r="147" spans="8:8" x14ac:dyDescent="0.2">
      <c r="H147" s="28">
        <v>45978</v>
      </c>
    </row>
    <row r="148" spans="8:8" x14ac:dyDescent="0.2">
      <c r="H148" s="28">
        <v>45999</v>
      </c>
    </row>
    <row r="149" spans="8:8" x14ac:dyDescent="0.2">
      <c r="H149" s="28">
        <v>46016</v>
      </c>
    </row>
    <row r="150" spans="8:8" x14ac:dyDescent="0.2">
      <c r="H150" s="28">
        <v>46023</v>
      </c>
    </row>
    <row r="151" spans="8:8" x14ac:dyDescent="0.2">
      <c r="H151" s="28">
        <v>46034</v>
      </c>
    </row>
    <row r="152" spans="8:8" x14ac:dyDescent="0.2">
      <c r="H152" s="28">
        <v>46104</v>
      </c>
    </row>
    <row r="153" spans="8:8" x14ac:dyDescent="0.2">
      <c r="H153" s="28">
        <v>46114</v>
      </c>
    </row>
    <row r="154" spans="8:8" x14ac:dyDescent="0.2">
      <c r="H154" s="28">
        <v>46115</v>
      </c>
    </row>
    <row r="155" spans="8:8" x14ac:dyDescent="0.2">
      <c r="H155" s="28">
        <v>46143</v>
      </c>
    </row>
    <row r="156" spans="8:8" x14ac:dyDescent="0.2">
      <c r="H156" s="28">
        <v>46160</v>
      </c>
    </row>
    <row r="157" spans="8:8" x14ac:dyDescent="0.2">
      <c r="H157" s="28">
        <v>46181</v>
      </c>
    </row>
    <row r="158" spans="8:8" x14ac:dyDescent="0.2">
      <c r="H158" s="28">
        <v>46188</v>
      </c>
    </row>
    <row r="159" spans="8:8" x14ac:dyDescent="0.2">
      <c r="H159" s="28">
        <v>46202</v>
      </c>
    </row>
    <row r="160" spans="8:8" x14ac:dyDescent="0.2">
      <c r="H160" s="28">
        <v>46223</v>
      </c>
    </row>
    <row r="161" spans="8:8" x14ac:dyDescent="0.2">
      <c r="H161" s="28">
        <v>46241</v>
      </c>
    </row>
    <row r="162" spans="8:8" x14ac:dyDescent="0.2">
      <c r="H162" s="28">
        <v>46251</v>
      </c>
    </row>
    <row r="163" spans="8:8" x14ac:dyDescent="0.2">
      <c r="H163" s="28">
        <v>46307</v>
      </c>
    </row>
    <row r="164" spans="8:8" x14ac:dyDescent="0.2">
      <c r="H164" s="28">
        <v>46328</v>
      </c>
    </row>
    <row r="165" spans="8:8" x14ac:dyDescent="0.2">
      <c r="H165" s="28">
        <v>46342</v>
      </c>
    </row>
    <row r="166" spans="8:8" x14ac:dyDescent="0.2">
      <c r="H166" s="28">
        <v>46364</v>
      </c>
    </row>
    <row r="167" spans="8:8" x14ac:dyDescent="0.2">
      <c r="H167" s="28">
        <v>46381</v>
      </c>
    </row>
  </sheetData>
  <sheetProtection password="CEF4" sheet="1" objects="1" scenarios="1" formatCells="0" formatColumns="0" formatRows="0" sort="0" autoFilter="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FF"/>
    <pageSetUpPr fitToPage="1"/>
  </sheetPr>
  <dimension ref="A1:H53"/>
  <sheetViews>
    <sheetView topLeftCell="A78" workbookViewId="0">
      <selection activeCell="B1" sqref="B1"/>
    </sheetView>
  </sheetViews>
  <sheetFormatPr baseColWidth="10" defaultColWidth="8.83203125" defaultRowHeight="15" x14ac:dyDescent="0.2"/>
  <cols>
    <col min="1" max="1" width="3" customWidth="1"/>
    <col min="2" max="2" width="44" customWidth="1"/>
    <col min="3" max="3" width="16" customWidth="1"/>
    <col min="4" max="4" width="18" customWidth="1"/>
    <col min="5" max="6" width="26" customWidth="1"/>
    <col min="7" max="7" width="30" customWidth="1"/>
    <col min="8" max="8" width="18" hidden="1" customWidth="1"/>
  </cols>
  <sheetData>
    <row r="1" spans="1:8" ht="28" customHeight="1" x14ac:dyDescent="0.2">
      <c r="A1" s="1"/>
      <c r="B1" s="2" t="s">
        <v>0</v>
      </c>
      <c r="C1" s="1"/>
      <c r="D1" s="1"/>
      <c r="E1" s="1"/>
      <c r="F1" s="3" t="s">
        <v>1</v>
      </c>
      <c r="G1" s="1"/>
    </row>
    <row r="2" spans="1:8" ht="18" customHeight="1" x14ac:dyDescent="0.2">
      <c r="A2" s="1"/>
      <c r="B2" s="4" t="s">
        <v>2</v>
      </c>
      <c r="C2" s="1"/>
      <c r="D2" s="1"/>
      <c r="E2" s="1"/>
      <c r="F2" s="5" t="s">
        <v>3</v>
      </c>
      <c r="G2" s="1"/>
    </row>
    <row r="3" spans="1:8" ht="21" x14ac:dyDescent="0.25">
      <c r="B3" s="7" t="s">
        <v>86</v>
      </c>
    </row>
    <row r="4" spans="1:8" x14ac:dyDescent="0.2">
      <c r="B4" s="29" t="s">
        <v>87</v>
      </c>
    </row>
    <row r="5" spans="1:8" x14ac:dyDescent="0.2">
      <c r="H5" t="b">
        <f>OR(C7=Datos!$D$2,C7=Datos!$D$3,C7=Datos!$D$4,C7=Datos!$D$5)</f>
        <v>0</v>
      </c>
    </row>
    <row r="6" spans="1:8" ht="16" x14ac:dyDescent="0.2">
      <c r="B6" s="9" t="s">
        <v>88</v>
      </c>
      <c r="C6" s="10"/>
      <c r="D6" s="10"/>
      <c r="E6" s="10"/>
      <c r="F6" s="10"/>
      <c r="H6" t="b">
        <f>OR(C7=Datos!$D$7,C7=Datos!$D$8,C7=Datos!$D$9)</f>
        <v>0</v>
      </c>
    </row>
    <row r="7" spans="1:8" ht="26" x14ac:dyDescent="0.2">
      <c r="B7" s="17" t="s">
        <v>89</v>
      </c>
      <c r="C7" s="72"/>
      <c r="D7" s="68"/>
      <c r="E7" s="68"/>
      <c r="F7" s="68"/>
      <c r="G7" s="31" t="s">
        <v>90</v>
      </c>
      <c r="H7" t="b">
        <f>OR(C7=Datos!$D$11,C7=Datos!$D$12)</f>
        <v>0</v>
      </c>
    </row>
    <row r="8" spans="1:8" x14ac:dyDescent="0.2">
      <c r="B8" s="32" t="s">
        <v>91</v>
      </c>
      <c r="C8" s="71" t="str">
        <f>IF(H16,"Impuesto a cargo, o en su defecto ingresos brutos / patrimonio líquido (sin saldo a favor)",IF(H5,"Impuesto a cargo, o en su defecto ingresos brutos / patrimonio líquido",IF(H8,"Valor de los activos poseídos en el exterior",IF(H6,"Impuesto neto, o en su defecto ingresos brutos",IF(H9,"Impuesto del GMF a cargo",IF(H7,"Valor total de las operaciones sujetas al régimen de precios de transferencia","Seleccione un tipo de declaración"))))))</f>
        <v>Seleccione un tipo de declaración</v>
      </c>
      <c r="D8" s="68"/>
      <c r="E8" s="68"/>
      <c r="F8" s="68"/>
      <c r="H8" t="b">
        <f>C7=Datos!$D$6</f>
        <v>0</v>
      </c>
    </row>
    <row r="9" spans="1:8" x14ac:dyDescent="0.2">
      <c r="H9" t="b">
        <f>C7=Datos!$D$10</f>
        <v>0</v>
      </c>
    </row>
    <row r="10" spans="1:8" ht="16" x14ac:dyDescent="0.2">
      <c r="B10" s="9" t="s">
        <v>92</v>
      </c>
      <c r="C10" s="10"/>
      <c r="D10" s="10"/>
      <c r="E10" s="10"/>
      <c r="F10" s="10"/>
      <c r="H10">
        <f>IFERROR(NETWORKDAYS(E18,E19,Datos!$H$2:$H$167)-1,0)</f>
        <v>-1</v>
      </c>
    </row>
    <row r="11" spans="1:8" x14ac:dyDescent="0.2">
      <c r="H11">
        <f>IF(E24="No",100,IF(E25="",0,IF(E18&gt;E25,IFERROR(DATEDIF(E25+1,E18,"y"),0),0)))</f>
        <v>100</v>
      </c>
    </row>
    <row r="12" spans="1:8" ht="26" x14ac:dyDescent="0.2">
      <c r="B12" s="16" t="str">
        <f>IF(H8,"Valor de los activos en el exterior:",IF(H7,"Valor de las operaciones:",IF(H9,"Impuesto del GMF a cargo:","Impuesto a cargo:")))</f>
        <v>Impuesto a cargo:</v>
      </c>
      <c r="E12" s="34">
        <v>0</v>
      </c>
      <c r="G12" s="31" t="s">
        <v>93</v>
      </c>
      <c r="H12" t="b">
        <f>AND(E18&lt;=DATE(2021,6,30),E19&gt;=DATE(2021,9,14),E19&lt;=DATE(2021,12,31))</f>
        <v>0</v>
      </c>
    </row>
    <row r="13" spans="1:8" x14ac:dyDescent="0.2">
      <c r="B13" s="17" t="s">
        <v>94</v>
      </c>
      <c r="E13" s="34">
        <v>0</v>
      </c>
      <c r="F13" s="35" t="str">
        <f>IF(H16,"No aplica para retención en la fuente",IF(H5,"","No aplica para este tipo de declaración"))</f>
        <v>No aplica para este tipo de declaración</v>
      </c>
      <c r="H13" t="b">
        <f>AND(E18&lt;=DATE(2022,12,31),E19&gt;=DATE(2022,12,13),E19&lt;=DATE(2023,5,30))</f>
        <v>0</v>
      </c>
    </row>
    <row r="14" spans="1:8" ht="26" x14ac:dyDescent="0.2">
      <c r="B14" s="17" t="s">
        <v>95</v>
      </c>
      <c r="E14" s="34">
        <v>0</v>
      </c>
      <c r="F14" s="35" t="str">
        <f>IF(OR(H8,H9,H7),"No aplica para este tipo",IF(E12&gt;0,"(Se ignora: tiene impuesto a cargo)",""))</f>
        <v/>
      </c>
      <c r="G14" s="31" t="s">
        <v>96</v>
      </c>
      <c r="H14" t="b">
        <f>AND(E18&lt;=DATE(2025,11,30),E19&gt;=DATE(2026,1,1),E19&lt;=DATE(2026,4,30))</f>
        <v>0</v>
      </c>
    </row>
    <row r="15" spans="1:8" x14ac:dyDescent="0.2">
      <c r="B15" s="17" t="s">
        <v>97</v>
      </c>
      <c r="E15" s="34">
        <v>0</v>
      </c>
      <c r="F15" s="35" t="str">
        <f>IF(NOT(H5),"No aplica para este tipo",IF(OR(E12&gt;0,E14&gt;0),"(Se ignora: tiene impuesto o ingresos)",""))</f>
        <v>No aplica para este tipo</v>
      </c>
      <c r="H15" t="b">
        <f>OR(H12,H13,H14)</f>
        <v>0</v>
      </c>
    </row>
    <row r="16" spans="1:8" x14ac:dyDescent="0.2">
      <c r="H16" t="b">
        <f>C7=Datos!$D$4</f>
        <v>0</v>
      </c>
    </row>
    <row r="17" spans="2:7" ht="16" x14ac:dyDescent="0.2">
      <c r="B17" s="9" t="s">
        <v>98</v>
      </c>
      <c r="C17" s="10"/>
      <c r="D17" s="10"/>
      <c r="E17" s="10"/>
      <c r="F17" s="10"/>
    </row>
    <row r="18" spans="2:7" ht="26" x14ac:dyDescent="0.2">
      <c r="B18" s="17" t="s">
        <v>99</v>
      </c>
      <c r="E18" s="36"/>
      <c r="G18" s="31" t="s">
        <v>100</v>
      </c>
    </row>
    <row r="19" spans="2:7" ht="26" x14ac:dyDescent="0.2">
      <c r="B19" s="17" t="s">
        <v>101</v>
      </c>
      <c r="E19" s="36"/>
      <c r="G19" s="31" t="s">
        <v>102</v>
      </c>
    </row>
    <row r="20" spans="2:7" x14ac:dyDescent="0.2">
      <c r="B20" s="17" t="s">
        <v>103</v>
      </c>
      <c r="E20" s="37">
        <f>IFERROR(VLOOKUP(YEAR(E19),Datos!$A$2:$B$21,2,FALSE),0)</f>
        <v>0</v>
      </c>
    </row>
    <row r="22" spans="2:7" ht="16" x14ac:dyDescent="0.2">
      <c r="B22" s="9" t="s">
        <v>104</v>
      </c>
      <c r="C22" s="10"/>
      <c r="D22" s="10"/>
      <c r="E22" s="10"/>
      <c r="F22" s="10"/>
    </row>
    <row r="23" spans="2:7" ht="26" x14ac:dyDescent="0.2">
      <c r="B23" s="17" t="s">
        <v>105</v>
      </c>
      <c r="E23" s="30" t="s">
        <v>106</v>
      </c>
      <c r="G23" s="31" t="s">
        <v>107</v>
      </c>
    </row>
    <row r="24" spans="2:7" ht="26" x14ac:dyDescent="0.2">
      <c r="B24" s="17" t="s">
        <v>108</v>
      </c>
      <c r="E24" s="30" t="s">
        <v>106</v>
      </c>
      <c r="G24" s="31" t="s">
        <v>109</v>
      </c>
    </row>
    <row r="25" spans="2:7" ht="26" x14ac:dyDescent="0.2">
      <c r="B25" s="17" t="s">
        <v>110</v>
      </c>
      <c r="E25" s="36"/>
      <c r="G25" s="31" t="s">
        <v>111</v>
      </c>
    </row>
    <row r="27" spans="2:7" ht="16" x14ac:dyDescent="0.2">
      <c r="B27" s="9" t="s">
        <v>112</v>
      </c>
      <c r="C27" s="10"/>
      <c r="D27" s="10"/>
      <c r="E27" s="10"/>
      <c r="F27" s="10"/>
    </row>
    <row r="29" spans="2:7" x14ac:dyDescent="0.2">
      <c r="B29" s="17" t="s">
        <v>113</v>
      </c>
      <c r="D29" s="38" t="str">
        <f>IF(H5,IF(E12&gt;0,"Impuesto a cargo",IF(E14&gt;0,"Ingresos brutos","Patrimonio líquido")),IF(H8,"Valor de los activos en el exterior",IF(H6,IF(E12&gt;0,"Impuesto neto","Ingresos brutos"),IF(H9,"Impuesto del GMF",IF(H7,"Valor de las operaciones","Seleccione tipo")))))</f>
        <v>Seleccione tipo</v>
      </c>
    </row>
    <row r="30" spans="2:7" x14ac:dyDescent="0.2">
      <c r="B30" s="16" t="s">
        <v>114</v>
      </c>
      <c r="E30" s="37">
        <f>IF(H5,IF(E12&gt;0,E12,IF(E14&gt;0,E14,E15)),IF(H8,E12,IF(H6,IF(E12&gt;0,E12,E14),IF(H9,E12,IF(H7,E12,0)))))</f>
        <v>0</v>
      </c>
    </row>
    <row r="31" spans="2:7" x14ac:dyDescent="0.2">
      <c r="B31" s="17" t="s">
        <v>115</v>
      </c>
      <c r="D31" s="39">
        <f>IF(H5,IF(E12&gt;0,IF(E23="Sí",0.1,0.05),IF(E14&gt;0,IF(E23="Sí",0.01,0.005),IF(E23="Sí",0.02,0.01))),IF(H8,IF(AND(E18&lt;=DATE(2019,12,31),E19&lt;=DATE(2020,4,30)),IF(E23="Sí",0.002,0.001),IF(YEAR(E18)&lt;2020,IF(E23="Sí",0.03,0.015),IF(E23="Sí",0.01,0.005))),IF(H6,IF(E12&gt;0,IF(E23="Sí",0.1,0.05),IF(E23="Sí",0.01,0.005)),IF(H9,IF(E23="Sí",0.02,0.01),IF(C7=Datos!$D$11,IF(H10&lt;=5,0.0005,0.002),IF(C7=Datos!$D$12,IF(H10&lt;=5,0.0002,0.001),0))))))</f>
        <v>0</v>
      </c>
    </row>
    <row r="32" spans="2:7" x14ac:dyDescent="0.2">
      <c r="B32" s="17" t="s">
        <v>116</v>
      </c>
      <c r="E32" s="37">
        <f>IF(AND(H7,H10&lt;=5),"",IF(AND(E19&lt;&gt;"",E18&lt;&gt;"",E19&gt;E18),ROUNDUP(DAYS360(E18,E19)/30,0),0))</f>
        <v>0</v>
      </c>
    </row>
    <row r="33" spans="2:7" x14ac:dyDescent="0.2">
      <c r="B33" s="17" t="s">
        <v>117</v>
      </c>
      <c r="D33" s="39">
        <f>IF(E32="",D31,D31*E32)</f>
        <v>0</v>
      </c>
    </row>
    <row r="34" spans="2:7" x14ac:dyDescent="0.2">
      <c r="B34" s="17" t="s">
        <v>118</v>
      </c>
      <c r="E34" s="37">
        <f>IF(H5,IF(E12&gt;0,IF(E23="Sí",2*E12,E12),IF(E14&gt;0,IF(E23="Sí",MIN(0.1*E14,IF(E13&gt;0,4*E13,5000*E20)),MIN(0.05*E14,IF(E13&gt;0,2*E13,2500*E20))),IF(E23="Sí",MIN(0.2*E15,IF(E13&gt;0,4*E13,5000*E20)),MIN(0.1*E15,IF(E13&gt;0,2*E13,2500*E20))))),IF(H8,IF(AND(E18&lt;=DATE(2019,12,31),E19&lt;=DATE(2020,4,30)),0.02*E12,IF(YEAR(E18)&lt;2020,0.25*E12,0.1*E12)),IF(H6,IF(E12&gt;0,IF(E23="Sí",2*E12,E12),IF(E23="Sí",MIN(0.1*E14,IF(E13&gt;0,4*E13,5000*E20)),MIN(0.05*E14,IF(E13&gt;0,2*E13,2500*E20)))),IF(H9,IF(E23="Sí",2*E12,E12),IF(C7=Datos!$D$11,IF(H10&lt;=5,ROUND(417*E20,-3),MIN(ROUND(MIN(0.002*E30,1667*E20),-3)*E32,ROUND(20000*E20,-3))),IF(C7=Datos!$D$12,IF(H10&lt;=5,ROUND(313*E20,-3),MIN(ROUND(MIN(0.001*E30,1250*E20),-3)*E32,ROUND(15000*E20,-3))),E30))))))</f>
        <v>0</v>
      </c>
    </row>
    <row r="36" spans="2:7" ht="16" x14ac:dyDescent="0.2">
      <c r="B36" s="9" t="s">
        <v>119</v>
      </c>
      <c r="C36" s="10"/>
      <c r="D36" s="10"/>
      <c r="E36" s="10"/>
      <c r="F36" s="10"/>
    </row>
    <row r="37" spans="2:7" x14ac:dyDescent="0.2">
      <c r="B37" s="16" t="s">
        <v>120</v>
      </c>
      <c r="E37" s="40">
        <f>IFERROR(ROUND(MIN(E30*D33,E34),-3),0)</f>
        <v>0</v>
      </c>
    </row>
    <row r="38" spans="2:7" x14ac:dyDescent="0.2">
      <c r="B38" s="17" t="s">
        <v>121</v>
      </c>
      <c r="E38" s="39">
        <f>IF(E23="No",IF(H11&gt;=2,0.5,IF(H11&gt;=1,0.75,1)),IF(H11&gt;=4,0.5,IF(H11&gt;=2,0.75,1)))</f>
        <v>0.5</v>
      </c>
    </row>
    <row r="39" spans="2:7" x14ac:dyDescent="0.2">
      <c r="B39" s="17" t="s">
        <v>122</v>
      </c>
      <c r="E39" s="37">
        <f>IF(H6,0,ROUND(10*E20,-3))</f>
        <v>0</v>
      </c>
    </row>
    <row r="41" spans="2:7" ht="16" x14ac:dyDescent="0.2">
      <c r="B41" s="16" t="s">
        <v>123</v>
      </c>
      <c r="E41" s="41">
        <f>IFERROR(MAX(ROUND(E37*E38,-3),E39),0)</f>
        <v>0</v>
      </c>
      <c r="F41" s="42" t="s">
        <v>124</v>
      </c>
    </row>
    <row r="43" spans="2:7" ht="16" x14ac:dyDescent="0.2">
      <c r="B43" s="9" t="s">
        <v>125</v>
      </c>
      <c r="C43" s="10"/>
      <c r="D43" s="10"/>
      <c r="E43" s="10"/>
      <c r="F43" s="10"/>
    </row>
    <row r="44" spans="2:7" x14ac:dyDescent="0.2">
      <c r="B44" s="17" t="s">
        <v>126</v>
      </c>
      <c r="D44" s="33" t="str">
        <f>IF(H12,"Ley 2155/2021, Art. 45 — Reducción al 20%",IF(H13,"Ley 2277/2022, Art. 93 — Reducción al 40%",IF(H14,"Decreto 240/2026, Art. 4 — Reducción al 15%","Ninguno")))</f>
        <v>Ninguno</v>
      </c>
    </row>
    <row r="45" spans="2:7" ht="26" x14ac:dyDescent="0.2">
      <c r="B45" s="17" t="s">
        <v>127</v>
      </c>
      <c r="E45" s="30" t="s">
        <v>106</v>
      </c>
      <c r="G45" s="31" t="s">
        <v>128</v>
      </c>
    </row>
    <row r="46" spans="2:7" x14ac:dyDescent="0.2">
      <c r="B46" s="17" t="s">
        <v>129</v>
      </c>
      <c r="E46" s="39">
        <f>IF(AND(H12,E45="Sí"),0.2,IF(H13,0.4,IF(AND(H14,E45="Sí"),0.15,1)))</f>
        <v>1</v>
      </c>
    </row>
    <row r="48" spans="2:7" ht="16" x14ac:dyDescent="0.2">
      <c r="B48" s="16" t="s">
        <v>130</v>
      </c>
      <c r="E48" s="41">
        <f>IFERROR(MAX(ROUND(E37*E38*E46,-3),E39),0)</f>
        <v>0</v>
      </c>
    </row>
    <row r="50" spans="2:6" ht="30" customHeight="1" x14ac:dyDescent="0.2">
      <c r="B50" s="70" t="s">
        <v>131</v>
      </c>
      <c r="C50" s="68"/>
      <c r="D50" s="68"/>
      <c r="E50" s="68"/>
    </row>
    <row r="51" spans="2:6" x14ac:dyDescent="0.2">
      <c r="B51" s="73" t="s">
        <v>132</v>
      </c>
      <c r="C51" s="68"/>
      <c r="D51" s="68"/>
      <c r="E51" s="68"/>
    </row>
    <row r="52" spans="2:6" ht="22" customHeight="1" x14ac:dyDescent="0.2">
      <c r="B52" s="74" t="s">
        <v>133</v>
      </c>
      <c r="C52" s="68"/>
      <c r="D52" s="68"/>
      <c r="E52" s="68"/>
      <c r="F52" s="68"/>
    </row>
    <row r="53" spans="2:6" x14ac:dyDescent="0.2">
      <c r="B53" s="69" t="s">
        <v>134</v>
      </c>
      <c r="C53" s="68"/>
      <c r="D53" s="68"/>
      <c r="E53" s="68"/>
      <c r="F53" s="68"/>
    </row>
  </sheetData>
  <sheetProtection password="CEF4" sheet="1" objects="1" scenarios="1" formatCells="0" formatColumns="0" formatRows="0" sort="0" autoFilter="0"/>
  <mergeCells count="6">
    <mergeCell ref="B53:F53"/>
    <mergeCell ref="B50:E50"/>
    <mergeCell ref="C8:F8"/>
    <mergeCell ref="C7:F7"/>
    <mergeCell ref="B51:E51"/>
    <mergeCell ref="B52:F52"/>
  </mergeCells>
  <conditionalFormatting sqref="B13:F13">
    <cfRule type="expression" dxfId="29" priority="2">
      <formula>OR($H$8,$H$9,$H$7,$H$16)</formula>
    </cfRule>
  </conditionalFormatting>
  <conditionalFormatting sqref="B14:F14">
    <cfRule type="expression" dxfId="28" priority="3">
      <formula>OR($H$8,$H$9,$H$7)</formula>
    </cfRule>
  </conditionalFormatting>
  <conditionalFormatting sqref="B15:F15">
    <cfRule type="expression" dxfId="27" priority="4">
      <formula>NOT($H$5)</formula>
    </cfRule>
  </conditionalFormatting>
  <conditionalFormatting sqref="B25:F25">
    <cfRule type="expression" dxfId="26" priority="1">
      <formula>$E$24&lt;&gt;"Sí"</formula>
    </cfRule>
  </conditionalFormatting>
  <conditionalFormatting sqref="B44:F48">
    <cfRule type="expression" dxfId="25" priority="5">
      <formula>NOT($H$15)</formula>
    </cfRule>
  </conditionalFormatting>
  <dataValidations count="8">
    <dataValidation type="list" allowBlank="1" sqref="E23:E24 E45" xr:uid="{00000000-0002-0000-0200-000001000000}">
      <formula1>"Sí,No"</formula1>
    </dataValidation>
    <dataValidation type="whole" operator="greaterThanOrEqual" allowBlank="1" showInputMessage="1" showErrorMessage="1" errorTitle="Valor no válido" error="Ingrese un valor entero mayor o igual a cero." promptTitle="Monto principal" prompt="Valor del impuesto a cargo, impuesto neto, o valor de los activos según el tipo de declaración." sqref="E12" xr:uid="{00000000-0002-0000-0200-000003000000}">
      <formula1>0</formula1>
    </dataValidation>
    <dataValidation type="whole" operator="greaterThanOrEqual" allowBlank="1" showInputMessage="1" showErrorMessage="1" errorTitle="Valor no válido" error="Ingrese un valor entero mayor o igual a cero." promptTitle="Saldo a favor" prompt="Renglón 'Saldo a favor' de la declaración. Si no hay, deje en 0." sqref="E13" xr:uid="{00000000-0002-0000-0200-000004000000}">
      <formula1>0</formula1>
    </dataValidation>
    <dataValidation type="whole" operator="greaterThanOrEqual" allowBlank="1" showInputMessage="1" showErrorMessage="1" errorTitle="Valor no válido" error="Ingrese un valor entero mayor o igual a cero." promptTitle="Ingresos brutos" prompt="Ingresos brutos del período declarado. Solo se usa si no hay impuesto a cargo." sqref="E14" xr:uid="{00000000-0002-0000-0200-000005000000}">
      <formula1>0</formula1>
    </dataValidation>
    <dataValidation type="whole" operator="greaterThanOrEqual" allowBlank="1" showInputMessage="1" showErrorMessage="1" errorTitle="Valor no válido" error="Ingrese un valor entero mayor o igual a cero." promptTitle="Patrimonio líquido" prompt="Patrimonio líquido del año anterior. Solo se usa si no hay impuesto ni ingresos." sqref="E15" xr:uid="{00000000-0002-0000-0200-000006000000}">
      <formula1>0</formula1>
    </dataValidation>
    <dataValidation type="date" showInputMessage="1" showErrorMessage="1" errorTitle="Fecha no válida" error="Ingrese una fecha válida entre 01/01/2007 y 31/12/2030." promptTitle="Fecha de vencimiento" prompt="Fecha límite para presentar la declaración según el calendario tributario DIAN." sqref="E18" xr:uid="{00000000-0002-0000-0200-000007000000}">
      <formula1>DATE(2007,1,1)</formula1>
      <formula2>DATE(2030,12,31)</formula2>
    </dataValidation>
    <dataValidation type="custom" showInputMessage="1" showErrorMessage="1" errorTitle="Fecha no válida" error="La fecha de presentación debe ser posterior a la fecha de vencimiento (E18)." promptTitle="Fecha de presentación" prompt="Fecha en que se presentó la declaración. Debe ser posterior a la fecha de vencimiento." sqref="E19" xr:uid="{00000000-0002-0000-0200-000008000000}">
      <formula1>AND(ISNUMBER(E19),E19&gt;E18)</formula1>
    </dataValidation>
    <dataValidation type="date" showInputMessage="1" showErrorMessage="1" errorTitle="Fecha no válida" error="Ingrese una fecha válida entre 01/01/2007 y 31/12/2030." promptTitle="Última conducta sancionable" prompt="Fecha del vencimiento de la última declaración donde tuvo conducta sancionable. Deje vacío si no aplica." sqref="E25" xr:uid="{00000000-0002-0000-0200-000009000000}">
      <formula1>DATE(2007,1,1)</formula1>
      <formula2>DATE(2030,12,31)</formula2>
    </dataValidation>
  </dataValidations>
  <hyperlinks>
    <hyperlink ref="B1" r:id="rId1" xr:uid="{00000000-0004-0000-0200-000000000000}"/>
    <hyperlink ref="F1" r:id="rId2" xr:uid="{00000000-0004-0000-0200-000001000000}"/>
    <hyperlink ref="F41" r:id="rId3" xr:uid="{00000000-0004-0000-0200-000002000000}"/>
    <hyperlink ref="B51" r:id="rId4" xr:uid="{00000000-0004-0000-0200-000003000000}"/>
    <hyperlink ref="B53" r:id="rId5" xr:uid="{00000000-0004-0000-0200-000004000000}"/>
  </hyperlinks>
  <pageMargins left="0.4" right="0.4" top="0.5" bottom="0.6" header="0.2" footer="0.3"/>
  <pageSetup fitToHeight="0" orientation="portrait"/>
  <headerFooter>
    <oddHeader>&amp;C&amp;"Calibri,Bold"&amp;9 &amp;K0A1628Sanción por Extemporaneidad</oddHeader>
    <oddFooter>&amp;L&amp;"Calibri"&amp;7 &amp;K6B7280tribai.co | INPLUX S.A.S.&amp;C&amp;"Calibri"&amp;7 &amp;P de &amp;N&amp;R&amp;"Calibri"&amp;7 &amp;K6B7280&amp;D</oddFooter>
  </headerFooter>
  <extLst>
    <ext xmlns:x14="http://schemas.microsoft.com/office/spreadsheetml/2009/9/main" uri="{CCE6A557-97BC-4b89-ADB6-D9C93CAAB3DF}">
      <x14:dataValidations xmlns:xm="http://schemas.microsoft.com/office/excel/2006/main" count="1">
        <x14:dataValidation type="list" promptTitle="Tipo de declaración" prompt="Seleccione el tipo de declaración tributaria" xr:uid="{00000000-0002-0000-0200-000000000000}">
          <x14:formula1>
            <xm:f>Datos!$D$2:$D$12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FF"/>
    <pageSetUpPr fitToPage="1"/>
  </sheetPr>
  <dimension ref="A1:H56"/>
  <sheetViews>
    <sheetView workbookViewId="0"/>
  </sheetViews>
  <sheetFormatPr baseColWidth="10" defaultColWidth="8.83203125" defaultRowHeight="15" x14ac:dyDescent="0.2"/>
  <cols>
    <col min="1" max="1" width="3" customWidth="1"/>
    <col min="2" max="2" width="44" customWidth="1"/>
    <col min="3" max="3" width="14" customWidth="1"/>
    <col min="4" max="4" width="18" customWidth="1"/>
    <col min="5" max="5" width="26" customWidth="1"/>
    <col min="6" max="6" width="22" customWidth="1"/>
    <col min="7" max="7" width="30" customWidth="1"/>
    <col min="8" max="8" width="18" hidden="1" customWidth="1"/>
  </cols>
  <sheetData>
    <row r="1" spans="1:8" ht="28" customHeight="1" x14ac:dyDescent="0.2">
      <c r="A1" s="1"/>
      <c r="B1" s="2" t="s">
        <v>0</v>
      </c>
      <c r="C1" s="1"/>
      <c r="D1" s="1"/>
      <c r="E1" s="1"/>
      <c r="F1" s="3" t="s">
        <v>1</v>
      </c>
      <c r="G1" s="1"/>
    </row>
    <row r="2" spans="1:8" ht="18" customHeight="1" x14ac:dyDescent="0.2">
      <c r="A2" s="1"/>
      <c r="B2" s="4" t="s">
        <v>2</v>
      </c>
      <c r="C2" s="1"/>
      <c r="D2" s="1"/>
      <c r="E2" s="1"/>
      <c r="F2" s="5" t="s">
        <v>3</v>
      </c>
      <c r="G2" s="1"/>
    </row>
    <row r="3" spans="1:8" ht="21" x14ac:dyDescent="0.25">
      <c r="B3" s="7" t="s">
        <v>135</v>
      </c>
    </row>
    <row r="4" spans="1:8" x14ac:dyDescent="0.2">
      <c r="B4" s="29" t="s">
        <v>136</v>
      </c>
    </row>
    <row r="6" spans="1:8" ht="16" x14ac:dyDescent="0.2">
      <c r="B6" s="9" t="s">
        <v>137</v>
      </c>
      <c r="C6" s="10"/>
      <c r="D6" s="10"/>
      <c r="E6" s="10"/>
      <c r="F6" s="10"/>
    </row>
    <row r="7" spans="1:8" ht="26" x14ac:dyDescent="0.2">
      <c r="B7" s="17" t="s">
        <v>138</v>
      </c>
      <c r="E7" s="30" t="s">
        <v>106</v>
      </c>
      <c r="G7" s="31" t="s">
        <v>139</v>
      </c>
      <c r="H7" t="str">
        <f>IF(AND(E10=E14,E11=0,E15=0),"a",IF(AND(E11=E15,E10=0,E14=0),"b",IF(AND(E10&gt;E14,E11=0,E15=0),"c",IF(AND(E10&gt;0,E14=0,E11=0,E15&gt;0),"d",IF(AND(E11&lt;E15,E10=0,E14=0),"e",IF(AND(E10&lt;E14,E11=0,E15=0),"f",IF(AND(E10=0,E14&gt;0,E11&gt;0,E15=0),"g",IF(AND(E11&gt;E15,E10=0,E14=0),"h","?"))))))))</f>
        <v>a</v>
      </c>
    </row>
    <row r="8" spans="1:8" x14ac:dyDescent="0.2">
      <c r="H8" t="b">
        <f>OR(H7="f",H7="g",H7="h")</f>
        <v>0</v>
      </c>
    </row>
    <row r="9" spans="1:8" x14ac:dyDescent="0.2">
      <c r="B9" s="16" t="s">
        <v>140</v>
      </c>
      <c r="H9">
        <f>IF(H7="f",E14-E10,IF(H7="g",E14+E11,IF(H7="h",E11-E15,0)))</f>
        <v>0</v>
      </c>
    </row>
    <row r="10" spans="1:8" ht="26" x14ac:dyDescent="0.2">
      <c r="B10" s="17" t="s">
        <v>141</v>
      </c>
      <c r="E10" s="34">
        <v>0</v>
      </c>
      <c r="G10" s="31" t="s">
        <v>142</v>
      </c>
      <c r="H10">
        <f>IF(E25="No",100,IF(E26="",0,IF(E18&gt;E26,IFERROR(DATEDIF(E26+1,E18,"y"),0),0)))</f>
        <v>100</v>
      </c>
    </row>
    <row r="11" spans="1:8" ht="26" x14ac:dyDescent="0.2">
      <c r="B11" s="17" t="s">
        <v>143</v>
      </c>
      <c r="E11" s="34">
        <v>0</v>
      </c>
      <c r="G11" s="31" t="s">
        <v>144</v>
      </c>
      <c r="H11">
        <f>IF(E24="No",IF(H10&gt;=2,0.5,IF(H10&gt;=1,0.75,1)),IF(H10&gt;=4,0.5,IF(H10&gt;=2,0.75,1)))</f>
        <v>0.5</v>
      </c>
    </row>
    <row r="12" spans="1:8" x14ac:dyDescent="0.2">
      <c r="H12">
        <f>IF(E7="Sí",0,ROUND(10*E21,-3))</f>
        <v>0</v>
      </c>
    </row>
    <row r="13" spans="1:8" x14ac:dyDescent="0.2">
      <c r="B13" s="16" t="s">
        <v>145</v>
      </c>
      <c r="H13" t="str">
        <f>IFERROR(IF(OR(H7="c",H7="d",H7="e"),DATEDIF(E18+1,E20,"y")&lt;1,DATEDIF(E18+1,E20,"y")&lt;IF(E18&gt;=DATE(2017,12,27),3,2)),"")</f>
        <v/>
      </c>
    </row>
    <row r="14" spans="1:8" ht="26" x14ac:dyDescent="0.2">
      <c r="B14" s="17" t="s">
        <v>146</v>
      </c>
      <c r="E14" s="34">
        <v>0</v>
      </c>
      <c r="G14" s="31" t="s">
        <v>147</v>
      </c>
      <c r="H14" t="b">
        <f>AND(E19&lt;=DATE(2025,12,31),E20&gt;=DATE(2026,1,1),E20&lt;=DATE(2026,4,30))</f>
        <v>0</v>
      </c>
    </row>
    <row r="15" spans="1:8" ht="26" x14ac:dyDescent="0.2">
      <c r="B15" s="17" t="s">
        <v>148</v>
      </c>
      <c r="E15" s="34">
        <v>0</v>
      </c>
      <c r="G15" s="31" t="s">
        <v>149</v>
      </c>
      <c r="H15" t="b">
        <f>AND(E18&lt;=DATE(2021,6,30),E20&gt;=DATE(2021,9,14),E20&lt;=DATE(2021,12,31))</f>
        <v>0</v>
      </c>
    </row>
    <row r="16" spans="1:8" x14ac:dyDescent="0.2">
      <c r="H16" t="b">
        <f>AND(E20&gt;=DATE(2022,12,13),E20&lt;=DATE(2023,5,30))</f>
        <v>0</v>
      </c>
    </row>
    <row r="17" spans="2:7" ht="16" x14ac:dyDescent="0.2">
      <c r="B17" s="9" t="s">
        <v>98</v>
      </c>
      <c r="C17" s="10"/>
      <c r="D17" s="10"/>
      <c r="E17" s="10"/>
      <c r="F17" s="10"/>
    </row>
    <row r="18" spans="2:7" ht="26" x14ac:dyDescent="0.2">
      <c r="B18" s="17" t="s">
        <v>150</v>
      </c>
      <c r="E18" s="36"/>
      <c r="G18" s="31" t="s">
        <v>151</v>
      </c>
    </row>
    <row r="19" spans="2:7" ht="26" x14ac:dyDescent="0.2">
      <c r="B19" s="17" t="s">
        <v>152</v>
      </c>
      <c r="E19" s="36"/>
      <c r="G19" s="31" t="s">
        <v>153</v>
      </c>
    </row>
    <row r="20" spans="2:7" ht="26" x14ac:dyDescent="0.2">
      <c r="B20" s="17" t="s">
        <v>154</v>
      </c>
      <c r="E20" s="36"/>
      <c r="G20" s="31" t="s">
        <v>155</v>
      </c>
    </row>
    <row r="21" spans="2:7" x14ac:dyDescent="0.2">
      <c r="B21" s="17" t="s">
        <v>156</v>
      </c>
      <c r="E21" s="37">
        <f>IFERROR(VLOOKUP(YEAR(E20),Datos!$A$2:$B$21,2,FALSE),0)</f>
        <v>0</v>
      </c>
    </row>
    <row r="23" spans="2:7" ht="16" x14ac:dyDescent="0.2">
      <c r="B23" s="9" t="s">
        <v>104</v>
      </c>
      <c r="C23" s="10"/>
      <c r="D23" s="10"/>
      <c r="E23" s="10"/>
      <c r="F23" s="10"/>
    </row>
    <row r="24" spans="2:7" ht="26" x14ac:dyDescent="0.2">
      <c r="B24" s="17" t="s">
        <v>105</v>
      </c>
      <c r="E24" s="30" t="s">
        <v>106</v>
      </c>
      <c r="G24" s="31" t="s">
        <v>157</v>
      </c>
    </row>
    <row r="25" spans="2:7" ht="26" x14ac:dyDescent="0.2">
      <c r="B25" s="17" t="s">
        <v>158</v>
      </c>
      <c r="E25" s="30" t="s">
        <v>106</v>
      </c>
      <c r="G25" s="31" t="s">
        <v>159</v>
      </c>
    </row>
    <row r="26" spans="2:7" ht="26" x14ac:dyDescent="0.2">
      <c r="B26" s="17" t="s">
        <v>110</v>
      </c>
      <c r="E26" s="36"/>
      <c r="G26" s="31" t="s">
        <v>111</v>
      </c>
    </row>
    <row r="28" spans="2:7" ht="16" x14ac:dyDescent="0.2">
      <c r="B28" s="9" t="s">
        <v>119</v>
      </c>
      <c r="C28" s="10"/>
      <c r="D28" s="10"/>
      <c r="E28" s="10"/>
      <c r="F28" s="10"/>
    </row>
    <row r="30" spans="2:7" x14ac:dyDescent="0.2">
      <c r="B30" s="16" t="s">
        <v>160</v>
      </c>
      <c r="D30" s="75" t="str">
        <f>IF(H7="a","a — Igual VP (sin sanción)",IF(H7="b","b — Igual SF (sin sanción)",IF(H7="c","c — Menor VP (sin sanción)",IF(H7="d","d — Menor VP genera SF (sin sanción)",IF(H7="e","e — Mayor SF (sin sanción)",IF(H7="f","f — Mayor VP (CON SANCIÓN)",IF(H7="g","g — SF genera VP (CON SANCIÓN)",IF(H7="h","h — Menor SF (CON SANCIÓN)","Verifique los datos ingresados"))))))))</f>
        <v>a — Igual VP (sin sanción)</v>
      </c>
      <c r="E30" s="76"/>
      <c r="F30" s="77"/>
    </row>
    <row r="31" spans="2:7" x14ac:dyDescent="0.2">
      <c r="B31" s="17" t="s">
        <v>161</v>
      </c>
      <c r="E31" s="43" t="str">
        <f>IF(H13=TRUE,"Sí",IF(H13=FALSE,"No — Fuera de plazo","Ingrese las fechas"))</f>
        <v>Ingrese las fechas</v>
      </c>
    </row>
    <row r="32" spans="2:7" x14ac:dyDescent="0.2">
      <c r="B32" s="17" t="s">
        <v>162</v>
      </c>
      <c r="E32" s="43" t="str">
        <f>IF(H8,"Sí","No")</f>
        <v>No</v>
      </c>
    </row>
    <row r="34" spans="2:7" x14ac:dyDescent="0.2">
      <c r="B34" s="16" t="s">
        <v>114</v>
      </c>
      <c r="E34" s="37">
        <f>H9</f>
        <v>0</v>
      </c>
    </row>
    <row r="35" spans="2:7" x14ac:dyDescent="0.2">
      <c r="B35" s="17" t="s">
        <v>163</v>
      </c>
      <c r="E35" s="37">
        <f>IF(AND(E19&lt;&gt;"",E18&lt;&gt;"",E19&gt;E18),ROUNDUP(DAYS360(E18,E19)/30,0),0)</f>
        <v>0</v>
      </c>
    </row>
    <row r="36" spans="2:7" x14ac:dyDescent="0.2">
      <c r="B36" s="17" t="s">
        <v>164</v>
      </c>
      <c r="E36" s="39">
        <f>IF(E24="Sí",0.2,0.1)</f>
        <v>0.1</v>
      </c>
    </row>
    <row r="37" spans="2:7" x14ac:dyDescent="0.2">
      <c r="B37" s="17" t="s">
        <v>165</v>
      </c>
      <c r="E37" s="37">
        <f>IF(E35&gt;0,H9*E35*0.05,0)</f>
        <v>0</v>
      </c>
    </row>
    <row r="39" spans="2:7" x14ac:dyDescent="0.2">
      <c r="B39" s="16" t="s">
        <v>120</v>
      </c>
      <c r="E39" s="40">
        <f>IF(H8,ROUND(MIN(H9*E36+E37,H9),-3),0)</f>
        <v>0</v>
      </c>
    </row>
    <row r="40" spans="2:7" x14ac:dyDescent="0.2">
      <c r="B40" s="17" t="s">
        <v>121</v>
      </c>
      <c r="E40" s="39">
        <f>H11</f>
        <v>0.5</v>
      </c>
    </row>
    <row r="41" spans="2:7" x14ac:dyDescent="0.2">
      <c r="B41" s="17" t="s">
        <v>166</v>
      </c>
      <c r="E41" s="37">
        <f>ROUND(E39*E40,-3)</f>
        <v>0</v>
      </c>
    </row>
    <row r="42" spans="2:7" x14ac:dyDescent="0.2">
      <c r="B42" s="17" t="s">
        <v>167</v>
      </c>
      <c r="E42" s="37">
        <f>H12</f>
        <v>0</v>
      </c>
    </row>
    <row r="44" spans="2:7" ht="16" x14ac:dyDescent="0.2">
      <c r="B44" s="16" t="s">
        <v>123</v>
      </c>
      <c r="E44" s="41">
        <f>IF(H8,MAX(E41,E42),0)</f>
        <v>0</v>
      </c>
      <c r="F44" s="42" t="s">
        <v>124</v>
      </c>
    </row>
    <row r="46" spans="2:7" ht="16" x14ac:dyDescent="0.2">
      <c r="B46" s="9" t="s">
        <v>168</v>
      </c>
      <c r="C46" s="10"/>
      <c r="D46" s="10"/>
      <c r="E46" s="10"/>
      <c r="F46" s="10"/>
    </row>
    <row r="47" spans="2:7" x14ac:dyDescent="0.2">
      <c r="B47" s="17" t="s">
        <v>126</v>
      </c>
      <c r="D47" s="33" t="str">
        <f>IF(H14,"Decreto 240/2026, Art. 4 — Reducción al 15%",IF(H15,"Ley 2155/2021, Art. 45 — Reducción al 20%",IF(H16,"Ley 2277/2022, Art. 93 — Reducción al 40%","Ninguno")))</f>
        <v>Ninguno</v>
      </c>
    </row>
    <row r="48" spans="2:7" ht="26" x14ac:dyDescent="0.2">
      <c r="B48" s="17" t="s">
        <v>127</v>
      </c>
      <c r="E48" s="30" t="s">
        <v>106</v>
      </c>
      <c r="G48" s="31" t="s">
        <v>169</v>
      </c>
    </row>
    <row r="49" spans="2:6" x14ac:dyDescent="0.2">
      <c r="B49" s="17" t="s">
        <v>129</v>
      </c>
      <c r="E49" s="39">
        <f>IF(AND(H14,E48="Sí"),0.15,IF(AND(H15,E48="Sí"),0.2,IF(H16,0.4,1)))</f>
        <v>1</v>
      </c>
    </row>
    <row r="51" spans="2:6" ht="16" x14ac:dyDescent="0.2">
      <c r="B51" s="16" t="s">
        <v>130</v>
      </c>
      <c r="E51" s="41">
        <f>IF(H8,MAX(ROUND(E39*E40*E49,-3),E42),0)</f>
        <v>0</v>
      </c>
    </row>
    <row r="53" spans="2:6" ht="30" customHeight="1" x14ac:dyDescent="0.2">
      <c r="B53" s="70" t="s">
        <v>131</v>
      </c>
      <c r="C53" s="68"/>
      <c r="D53" s="68"/>
      <c r="E53" s="68"/>
    </row>
    <row r="54" spans="2:6" x14ac:dyDescent="0.2">
      <c r="B54" s="73" t="s">
        <v>132</v>
      </c>
      <c r="C54" s="68"/>
      <c r="D54" s="68"/>
      <c r="E54" s="68"/>
    </row>
    <row r="55" spans="2:6" ht="22" customHeight="1" x14ac:dyDescent="0.2">
      <c r="B55" s="74" t="s">
        <v>133</v>
      </c>
      <c r="C55" s="68"/>
      <c r="D55" s="68"/>
      <c r="E55" s="68"/>
      <c r="F55" s="68"/>
    </row>
    <row r="56" spans="2:6" x14ac:dyDescent="0.2">
      <c r="B56" s="69" t="s">
        <v>134</v>
      </c>
      <c r="C56" s="68"/>
      <c r="D56" s="68"/>
      <c r="E56" s="68"/>
      <c r="F56" s="68"/>
    </row>
  </sheetData>
  <sheetProtection password="CEF4" sheet="1" objects="1" scenarios="1" formatCells="0" formatColumns="0" formatRows="0" sort="0" autoFilter="0"/>
  <mergeCells count="5">
    <mergeCell ref="B55:F55"/>
    <mergeCell ref="B53:E53"/>
    <mergeCell ref="B54:E54"/>
    <mergeCell ref="D30:F30"/>
    <mergeCell ref="B56:F56"/>
  </mergeCells>
  <conditionalFormatting sqref="B26:F26">
    <cfRule type="expression" dxfId="24" priority="1">
      <formula>$E$25&lt;&gt;"Sí"</formula>
    </cfRule>
  </conditionalFormatting>
  <conditionalFormatting sqref="B47:F51">
    <cfRule type="expression" dxfId="23" priority="2">
      <formula>NOT(OR($H$14,$H$15,$H$16))</formula>
    </cfRule>
  </conditionalFormatting>
  <dataValidations count="9">
    <dataValidation type="list" allowBlank="1" sqref="E7 E24:E25 E48" xr:uid="{00000000-0002-0000-0300-000000000000}">
      <formula1>"Sí,No"</formula1>
    </dataValidation>
    <dataValidation type="whole" operator="greaterThanOrEqual" allowBlank="1" showInputMessage="1" showErrorMessage="1" errorTitle="Valor no válido" error="Ingrese un valor entero mayor o igual a cero." promptTitle="Valor a pagar (inicial)" prompt="Renglón 'Total saldo a pagar' de la declaración inicialmente presentada." sqref="E10" xr:uid="{00000000-0002-0000-0300-000002000000}">
      <formula1>0</formula1>
    </dataValidation>
    <dataValidation type="whole" operator="greaterThanOrEqual" allowBlank="1" showInputMessage="1" showErrorMessage="1" errorTitle="Valor no válido" error="Ingrese un valor entero mayor o igual a cero." promptTitle="Saldo a favor (inicial)" prompt="Renglón 'Saldo a favor' de la declaración inicial. Si no hay, deje en 0." sqref="E11" xr:uid="{00000000-0002-0000-0300-000003000000}">
      <formula1>0</formula1>
    </dataValidation>
    <dataValidation type="whole" operator="greaterThanOrEqual" allowBlank="1" showInputMessage="1" showErrorMessage="1" errorTitle="Valor no válido" error="Ingrese un valor entero mayor o igual a cero." promptTitle="Valor a pagar (corrección)" prompt="Renglón 'Total saldo a pagar' del formulario de corrección." sqref="E14" xr:uid="{00000000-0002-0000-0300-000004000000}">
      <formula1>0</formula1>
    </dataValidation>
    <dataValidation type="whole" operator="greaterThanOrEqual" allowBlank="1" showInputMessage="1" showErrorMessage="1" errorTitle="Valor no válido" error="Ingrese un valor entero mayor o igual a cero." promptTitle="Saldo a favor (corrección)" prompt="Renglón 'Saldo a favor' del formulario de corrección. Si no hay, deje en 0." sqref="E15" xr:uid="{00000000-0002-0000-0300-000005000000}">
      <formula1>0</formula1>
    </dataValidation>
    <dataValidation type="date" showInputMessage="1" showErrorMessage="1" errorTitle="Fecha no válida" error="Ingrese una fecha válida entre 01/01/2007 y 31/12/2030." promptTitle="Fecha de vencimiento" prompt="Fecha límite de presentación según el calendario tributario DIAN." sqref="E18" xr:uid="{00000000-0002-0000-0300-000006000000}">
      <formula1>DATE(2007,1,1)</formula1>
      <formula2>DATE(2030,12,31)</formula2>
    </dataValidation>
    <dataValidation type="date" showInputMessage="1" showErrorMessage="1" errorTitle="Fecha no válida" error="Ingrese una fecha válida entre 01/01/2007 y 31/12/2030." promptTitle="Fecha de presentación original" prompt="Fecha en que se presentó la declaración original." sqref="E19" xr:uid="{00000000-0002-0000-0300-000007000000}">
      <formula1>DATE(2007,1,1)</formula1>
      <formula2>DATE(2030,12,31)</formula2>
    </dataValidation>
    <dataValidation type="custom" showInputMessage="1" showErrorMessage="1" errorTitle="Fecha no válida" error="La fecha de corrección debe ser posterior a la fecha de presentación original (E19)." promptTitle="Fecha de corrección" prompt="Fecha en que presenta la corrección. Debe ser posterior a la presentación original." sqref="E20" xr:uid="{00000000-0002-0000-0300-000008000000}">
      <formula1>AND(ISNUMBER(E20),E20&gt;E19)</formula1>
    </dataValidation>
    <dataValidation type="date" showInputMessage="1" showErrorMessage="1" errorTitle="Fecha no válida" error="Ingrese una fecha válida entre 01/01/2007 y 31/12/2030." promptTitle="Última conducta sancionable" prompt="Fecha del vencimiento de la última declaración con conducta sancionable." sqref="E26" xr:uid="{00000000-0002-0000-0300-000009000000}">
      <formula1>DATE(2007,1,1)</formula1>
      <formula2>DATE(2030,12,31)</formula2>
    </dataValidation>
  </dataValidations>
  <hyperlinks>
    <hyperlink ref="B1" r:id="rId1" xr:uid="{00000000-0004-0000-0300-000000000000}"/>
    <hyperlink ref="F1" r:id="rId2" xr:uid="{00000000-0004-0000-0300-000001000000}"/>
    <hyperlink ref="F44" r:id="rId3" xr:uid="{00000000-0004-0000-0300-000002000000}"/>
    <hyperlink ref="B54" r:id="rId4" xr:uid="{00000000-0004-0000-0300-000003000000}"/>
    <hyperlink ref="B56" r:id="rId5" xr:uid="{00000000-0004-0000-0300-000004000000}"/>
  </hyperlinks>
  <pageMargins left="0.4" right="0.4" top="0.5" bottom="0.6" header="0.2" footer="0.3"/>
  <pageSetup fitToHeight="0" orientation="portrait"/>
  <headerFooter>
    <oddHeader>&amp;C&amp;"Calibri,Bold"&amp;9 &amp;K0A1628Sanción por Corrección</oddHeader>
    <oddFooter>&amp;L&amp;"Calibri"&amp;7 &amp;K6B7280tribai.co | INPLUX S.A.S.&amp;C&amp;"Calibri"&amp;7 &amp;P de &amp;N&amp;R&amp;"Calibri"&amp;7 &amp;K6B7280&amp;D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FF"/>
    <pageSetUpPr fitToPage="1"/>
  </sheetPr>
  <dimension ref="A1:F27"/>
  <sheetViews>
    <sheetView workbookViewId="0">
      <selection activeCell="E11" sqref="E11"/>
    </sheetView>
  </sheetViews>
  <sheetFormatPr baseColWidth="10" defaultColWidth="8.83203125" defaultRowHeight="15" x14ac:dyDescent="0.2"/>
  <cols>
    <col min="1" max="1" width="3" customWidth="1"/>
    <col min="2" max="2" width="44" customWidth="1"/>
    <col min="3" max="3" width="14" customWidth="1"/>
    <col min="4" max="4" width="18" customWidth="1"/>
    <col min="5" max="5" width="26" customWidth="1"/>
    <col min="6" max="6" width="22" customWidth="1"/>
  </cols>
  <sheetData>
    <row r="1" spans="1:6" ht="28" customHeight="1" x14ac:dyDescent="0.2">
      <c r="A1" s="1"/>
      <c r="B1" s="2" t="s">
        <v>0</v>
      </c>
      <c r="C1" s="1"/>
      <c r="D1" s="1"/>
      <c r="E1" s="3" t="s">
        <v>1</v>
      </c>
      <c r="F1" s="1"/>
    </row>
    <row r="2" spans="1:6" ht="18" customHeight="1" x14ac:dyDescent="0.2">
      <c r="A2" s="1"/>
      <c r="B2" s="4" t="s">
        <v>2</v>
      </c>
      <c r="C2" s="1"/>
      <c r="D2" s="1"/>
      <c r="E2" s="5" t="s">
        <v>3</v>
      </c>
      <c r="F2" s="1"/>
    </row>
    <row r="3" spans="1:6" ht="21" x14ac:dyDescent="0.25">
      <c r="B3" s="7" t="s">
        <v>170</v>
      </c>
    </row>
    <row r="4" spans="1:6" x14ac:dyDescent="0.2">
      <c r="B4" s="29" t="s">
        <v>171</v>
      </c>
    </row>
    <row r="6" spans="1:6" ht="16" x14ac:dyDescent="0.2">
      <c r="B6" s="9" t="s">
        <v>172</v>
      </c>
      <c r="C6" s="10"/>
      <c r="D6" s="10"/>
      <c r="E6" s="10"/>
      <c r="F6" s="10"/>
    </row>
    <row r="7" spans="1:6" ht="45" customHeight="1" x14ac:dyDescent="0.2">
      <c r="B7" s="67" t="s">
        <v>173</v>
      </c>
      <c r="C7" s="68"/>
      <c r="D7" s="68"/>
      <c r="E7" s="68"/>
      <c r="F7" s="68"/>
    </row>
    <row r="9" spans="1:6" ht="16" x14ac:dyDescent="0.2">
      <c r="B9" s="9" t="s">
        <v>174</v>
      </c>
      <c r="C9" s="10"/>
      <c r="D9" s="10"/>
      <c r="E9" s="10"/>
      <c r="F9" s="10"/>
    </row>
    <row r="11" spans="1:6" ht="26" x14ac:dyDescent="0.2">
      <c r="B11" s="17" t="s">
        <v>175</v>
      </c>
      <c r="E11" s="34">
        <v>0</v>
      </c>
      <c r="F11" s="31" t="s">
        <v>176</v>
      </c>
    </row>
    <row r="12" spans="1:6" ht="39" x14ac:dyDescent="0.2">
      <c r="B12" s="17" t="s">
        <v>177</v>
      </c>
      <c r="E12" s="44">
        <v>0.35</v>
      </c>
      <c r="F12" s="31" t="s">
        <v>178</v>
      </c>
    </row>
    <row r="13" spans="1:6" x14ac:dyDescent="0.2">
      <c r="B13" s="8" t="s">
        <v>179</v>
      </c>
    </row>
    <row r="14" spans="1:6" ht="39" x14ac:dyDescent="0.2">
      <c r="B14" s="17" t="s">
        <v>180</v>
      </c>
      <c r="E14" s="34">
        <v>2026</v>
      </c>
      <c r="F14" s="31" t="s">
        <v>181</v>
      </c>
    </row>
    <row r="16" spans="1:6" ht="16" x14ac:dyDescent="0.2">
      <c r="B16" s="9" t="s">
        <v>119</v>
      </c>
      <c r="C16" s="10"/>
      <c r="D16" s="10"/>
      <c r="E16" s="10"/>
      <c r="F16" s="10"/>
    </row>
    <row r="18" spans="2:6" x14ac:dyDescent="0.2">
      <c r="B18" s="17" t="s">
        <v>182</v>
      </c>
      <c r="E18" s="37">
        <f>E11*E12</f>
        <v>0</v>
      </c>
    </row>
    <row r="19" spans="2:6" x14ac:dyDescent="0.2">
      <c r="B19" s="17" t="s">
        <v>122</v>
      </c>
      <c r="E19" s="37">
        <f>ROUND(10*VLOOKUP(E14,Datos!$A$2:$B$21,2,FALSE),-3)</f>
        <v>524000</v>
      </c>
    </row>
    <row r="21" spans="2:6" ht="16" x14ac:dyDescent="0.2">
      <c r="B21" s="16" t="s">
        <v>183</v>
      </c>
      <c r="E21" s="41">
        <f>MAX(E18,E19)</f>
        <v>524000</v>
      </c>
      <c r="F21" s="42" t="s">
        <v>124</v>
      </c>
    </row>
    <row r="22" spans="2:6" x14ac:dyDescent="0.2">
      <c r="B22" s="8" t="s">
        <v>184</v>
      </c>
    </row>
    <row r="24" spans="2:6" ht="30" customHeight="1" x14ac:dyDescent="0.2">
      <c r="B24" s="70" t="s">
        <v>131</v>
      </c>
      <c r="C24" s="68"/>
      <c r="D24" s="68"/>
      <c r="E24" s="68"/>
    </row>
    <row r="25" spans="2:6" x14ac:dyDescent="0.2">
      <c r="B25" s="73" t="s">
        <v>132</v>
      </c>
      <c r="C25" s="68"/>
      <c r="D25" s="68"/>
      <c r="E25" s="68"/>
    </row>
    <row r="26" spans="2:6" ht="22" customHeight="1" x14ac:dyDescent="0.2">
      <c r="B26" s="74" t="s">
        <v>133</v>
      </c>
      <c r="C26" s="68"/>
      <c r="D26" s="68"/>
      <c r="E26" s="68"/>
      <c r="F26" s="68"/>
    </row>
    <row r="27" spans="2:6" x14ac:dyDescent="0.2">
      <c r="B27" s="69" t="s">
        <v>134</v>
      </c>
      <c r="C27" s="68"/>
      <c r="D27" s="68"/>
      <c r="E27" s="68"/>
      <c r="F27" s="68"/>
    </row>
  </sheetData>
  <sheetProtection password="CEF4" sheet="1" objects="1" scenarios="1" formatCells="0" formatColumns="0" formatRows="0" sort="0" autoFilter="0"/>
  <mergeCells count="5">
    <mergeCell ref="B7:F7"/>
    <mergeCell ref="B25:E25"/>
    <mergeCell ref="B24:E24"/>
    <mergeCell ref="B26:F26"/>
    <mergeCell ref="B27:F27"/>
  </mergeCells>
  <dataValidations count="2">
    <dataValidation type="whole" operator="greaterThanOrEqual" allowBlank="1" showInputMessage="1" showErrorMessage="1" errorTitle="Valor no válido" error="Ingrese un valor entero mayor o igual a cero." promptTitle="Ingreso omitido" prompt="Valor del pago que fue omitido por el beneficiario en su declaración." sqref="E11" xr:uid="{00000000-0002-0000-0400-000001000000}">
      <formula1>0</formula1>
    </dataValidation>
    <dataValidation type="decimal" showInputMessage="1" showErrorMessage="1" errorTitle="Tarifa no válida" error="Ingrese un porcentaje entre 0 % y 100 % (ejemplo: 0,35 para el 35 %)." promptTitle="Tarifa de renta" prompt="Tarifa del impuesto sobre la renta aplicable al beneficiario." sqref="E12" xr:uid="{00000000-0002-0000-0400-000002000000}">
      <formula1>0</formula1>
      <formula2>1</formula2>
    </dataValidation>
  </dataValidations>
  <hyperlinks>
    <hyperlink ref="B1" r:id="rId1" xr:uid="{00000000-0004-0000-0400-000000000000}"/>
    <hyperlink ref="E1" r:id="rId2" xr:uid="{00000000-0004-0000-0400-000001000000}"/>
    <hyperlink ref="F21" r:id="rId3" xr:uid="{00000000-0004-0000-0400-000002000000}"/>
    <hyperlink ref="B25" r:id="rId4" xr:uid="{00000000-0004-0000-0400-000003000000}"/>
    <hyperlink ref="B27" r:id="rId5" xr:uid="{00000000-0004-0000-0400-000004000000}"/>
  </hyperlinks>
  <pageMargins left="0.4" right="0.4" top="0.5" bottom="0.6" header="0.2" footer="0.3"/>
  <pageSetup fitToHeight="0" orientation="portrait"/>
  <headerFooter>
    <oddHeader>&amp;C&amp;"Calibri,Bold"&amp;9 &amp;K0A1628Sanción por Evasión Pasiva</oddHeader>
    <oddFooter>&amp;L&amp;"Calibri"&amp;7 &amp;K6B7280tribai.co | INPLUX S.A.S.&amp;C&amp;"Calibri"&amp;7 &amp;P de &amp;N&amp;R&amp;"Calibri"&amp;7 &amp;K6B7280&amp;D</oddFooter>
  </headerFooter>
  <extLst>
    <ext xmlns:x14="http://schemas.microsoft.com/office/spreadsheetml/2009/9/main" uri="{CCE6A557-97BC-4b89-ADB6-D9C93CAAB3DF}">
      <x14:dataValidations xmlns:xm="http://schemas.microsoft.com/office/excel/2006/main" count="1">
        <x14:dataValidation type="list" xr:uid="{00000000-0002-0000-0400-000000000000}">
          <x14:formula1>
            <xm:f>Datos!$A$2:$A$21</xm:f>
          </x14:formula1>
          <xm:sqref>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FF"/>
    <pageSetUpPr fitToPage="1"/>
  </sheetPr>
  <dimension ref="A1:G83"/>
  <sheetViews>
    <sheetView workbookViewId="0"/>
  </sheetViews>
  <sheetFormatPr baseColWidth="10" defaultColWidth="8.83203125" defaultRowHeight="15" x14ac:dyDescent="0.2"/>
  <cols>
    <col min="1" max="1" width="3" customWidth="1"/>
    <col min="2" max="3" width="14" customWidth="1"/>
    <col min="4" max="4" width="25" customWidth="1"/>
    <col min="5" max="5" width="18" customWidth="1"/>
    <col min="6" max="7" width="22" customWidth="1"/>
  </cols>
  <sheetData>
    <row r="1" spans="1:7" ht="28" customHeight="1" x14ac:dyDescent="0.2">
      <c r="A1" s="1"/>
      <c r="B1" s="2" t="s">
        <v>0</v>
      </c>
      <c r="C1" s="1"/>
      <c r="D1" s="1"/>
      <c r="E1" s="1"/>
      <c r="F1" s="3" t="s">
        <v>1</v>
      </c>
      <c r="G1" s="1"/>
    </row>
    <row r="2" spans="1:7" ht="18" customHeight="1" x14ac:dyDescent="0.2">
      <c r="A2" s="1"/>
      <c r="B2" s="4" t="s">
        <v>2</v>
      </c>
      <c r="C2" s="1"/>
      <c r="D2" s="1"/>
      <c r="E2" s="1"/>
      <c r="F2" s="5" t="s">
        <v>3</v>
      </c>
      <c r="G2" s="1"/>
    </row>
    <row r="3" spans="1:7" ht="21" x14ac:dyDescent="0.25">
      <c r="B3" s="7" t="s">
        <v>185</v>
      </c>
    </row>
    <row r="4" spans="1:7" x14ac:dyDescent="0.2">
      <c r="B4" s="29" t="s">
        <v>186</v>
      </c>
    </row>
    <row r="6" spans="1:7" ht="16" x14ac:dyDescent="0.2">
      <c r="B6" s="9" t="s">
        <v>187</v>
      </c>
      <c r="C6" s="10"/>
      <c r="D6" s="10"/>
      <c r="E6" s="10"/>
      <c r="F6" s="10"/>
    </row>
    <row r="8" spans="1:7" x14ac:dyDescent="0.2">
      <c r="B8" s="17" t="s">
        <v>188</v>
      </c>
      <c r="E8" s="34">
        <v>2026</v>
      </c>
    </row>
    <row r="9" spans="1:7" x14ac:dyDescent="0.2">
      <c r="B9" s="17" t="s">
        <v>189</v>
      </c>
      <c r="E9" s="37">
        <f>IFERROR(VLOOKUP(E8,Datos!$A$2:$B$21,2,FALSE),0)</f>
        <v>52374</v>
      </c>
    </row>
    <row r="10" spans="1:7" x14ac:dyDescent="0.2">
      <c r="B10" s="17" t="s">
        <v>190</v>
      </c>
      <c r="D10" s="72" t="s">
        <v>69</v>
      </c>
      <c r="E10" s="68"/>
      <c r="F10" s="68"/>
    </row>
    <row r="11" spans="1:7" x14ac:dyDescent="0.2">
      <c r="B11" s="17" t="s">
        <v>191</v>
      </c>
      <c r="E11" s="39">
        <f>IF(D10=Datos!$F$2,0.01,IF(D10=Datos!$F$3,0.007,0.005))</f>
        <v>0.01</v>
      </c>
    </row>
    <row r="13" spans="1:7" ht="16" x14ac:dyDescent="0.2">
      <c r="B13" s="9" t="s">
        <v>192</v>
      </c>
      <c r="C13" s="10"/>
      <c r="D13" s="10"/>
      <c r="E13" s="10"/>
      <c r="F13" s="10"/>
    </row>
    <row r="15" spans="1:7" x14ac:dyDescent="0.2">
      <c r="B15" s="11" t="s">
        <v>193</v>
      </c>
      <c r="C15" s="11" t="s">
        <v>9</v>
      </c>
      <c r="D15" s="79"/>
      <c r="E15" s="77"/>
      <c r="F15" s="11" t="s">
        <v>194</v>
      </c>
    </row>
    <row r="16" spans="1:7" x14ac:dyDescent="0.2">
      <c r="B16" s="45"/>
      <c r="D16" s="78"/>
      <c r="E16" s="68"/>
      <c r="F16" s="34">
        <v>0</v>
      </c>
      <c r="G16" s="37">
        <f t="shared" ref="G16:G25" si="0">F16*$E$11</f>
        <v>0</v>
      </c>
    </row>
    <row r="17" spans="2:7" x14ac:dyDescent="0.2">
      <c r="B17" s="45"/>
      <c r="D17" s="78"/>
      <c r="E17" s="68"/>
      <c r="F17" s="34">
        <v>0</v>
      </c>
      <c r="G17" s="37">
        <f t="shared" si="0"/>
        <v>0</v>
      </c>
    </row>
    <row r="18" spans="2:7" x14ac:dyDescent="0.2">
      <c r="B18" s="45"/>
      <c r="D18" s="78"/>
      <c r="E18" s="68"/>
      <c r="F18" s="34">
        <v>0</v>
      </c>
      <c r="G18" s="37">
        <f t="shared" si="0"/>
        <v>0</v>
      </c>
    </row>
    <row r="19" spans="2:7" x14ac:dyDescent="0.2">
      <c r="B19" s="45"/>
      <c r="D19" s="78"/>
      <c r="E19" s="68"/>
      <c r="F19" s="34">
        <v>0</v>
      </c>
      <c r="G19" s="37">
        <f t="shared" si="0"/>
        <v>0</v>
      </c>
    </row>
    <row r="20" spans="2:7" x14ac:dyDescent="0.2">
      <c r="B20" s="45"/>
      <c r="D20" s="78"/>
      <c r="E20" s="68"/>
      <c r="F20" s="34">
        <v>0</v>
      </c>
      <c r="G20" s="37">
        <f t="shared" si="0"/>
        <v>0</v>
      </c>
    </row>
    <row r="21" spans="2:7" x14ac:dyDescent="0.2">
      <c r="B21" s="45"/>
      <c r="D21" s="78"/>
      <c r="E21" s="68"/>
      <c r="F21" s="34">
        <v>0</v>
      </c>
      <c r="G21" s="37">
        <f t="shared" si="0"/>
        <v>0</v>
      </c>
    </row>
    <row r="22" spans="2:7" x14ac:dyDescent="0.2">
      <c r="B22" s="45"/>
      <c r="D22" s="78"/>
      <c r="E22" s="68"/>
      <c r="F22" s="34">
        <v>0</v>
      </c>
      <c r="G22" s="37">
        <f t="shared" si="0"/>
        <v>0</v>
      </c>
    </row>
    <row r="23" spans="2:7" x14ac:dyDescent="0.2">
      <c r="B23" s="45"/>
      <c r="D23" s="78"/>
      <c r="E23" s="68"/>
      <c r="F23" s="34">
        <v>0</v>
      </c>
      <c r="G23" s="37">
        <f t="shared" si="0"/>
        <v>0</v>
      </c>
    </row>
    <row r="24" spans="2:7" x14ac:dyDescent="0.2">
      <c r="B24" s="45"/>
      <c r="D24" s="78"/>
      <c r="E24" s="68"/>
      <c r="F24" s="34">
        <v>0</v>
      </c>
      <c r="G24" s="37">
        <f t="shared" si="0"/>
        <v>0</v>
      </c>
    </row>
    <row r="25" spans="2:7" x14ac:dyDescent="0.2">
      <c r="B25" s="45"/>
      <c r="D25" s="78"/>
      <c r="E25" s="68"/>
      <c r="F25" s="34">
        <v>0</v>
      </c>
      <c r="G25" s="37">
        <f t="shared" si="0"/>
        <v>0</v>
      </c>
    </row>
    <row r="26" spans="2:7" x14ac:dyDescent="0.2">
      <c r="D26" s="16" t="s">
        <v>195</v>
      </c>
      <c r="G26" s="40">
        <f>SUM(G16:G25)</f>
        <v>0</v>
      </c>
    </row>
    <row r="28" spans="2:7" ht="16" x14ac:dyDescent="0.2">
      <c r="B28" s="9" t="s">
        <v>196</v>
      </c>
      <c r="C28" s="10"/>
      <c r="D28" s="10"/>
      <c r="E28" s="10"/>
      <c r="F28" s="10"/>
    </row>
    <row r="29" spans="2:7" x14ac:dyDescent="0.2">
      <c r="B29" s="8" t="s">
        <v>197</v>
      </c>
    </row>
    <row r="31" spans="2:7" x14ac:dyDescent="0.2">
      <c r="B31" s="11" t="s">
        <v>193</v>
      </c>
      <c r="C31" s="11" t="s">
        <v>9</v>
      </c>
      <c r="D31" s="79"/>
      <c r="E31" s="77"/>
      <c r="F31" s="11" t="s">
        <v>194</v>
      </c>
    </row>
    <row r="32" spans="2:7" x14ac:dyDescent="0.2">
      <c r="B32" s="45"/>
      <c r="D32" s="78"/>
      <c r="E32" s="68"/>
      <c r="F32" s="34">
        <v>0</v>
      </c>
      <c r="G32" s="37">
        <f t="shared" ref="G32:G41" si="1">F32*0.5*$E$9</f>
        <v>0</v>
      </c>
    </row>
    <row r="33" spans="2:7" x14ac:dyDescent="0.2">
      <c r="B33" s="45"/>
      <c r="D33" s="78"/>
      <c r="E33" s="68"/>
      <c r="F33" s="34">
        <v>0</v>
      </c>
      <c r="G33" s="37">
        <f t="shared" si="1"/>
        <v>0</v>
      </c>
    </row>
    <row r="34" spans="2:7" x14ac:dyDescent="0.2">
      <c r="B34" s="45"/>
      <c r="D34" s="78"/>
      <c r="E34" s="68"/>
      <c r="F34" s="34">
        <v>0</v>
      </c>
      <c r="G34" s="37">
        <f t="shared" si="1"/>
        <v>0</v>
      </c>
    </row>
    <row r="35" spans="2:7" x14ac:dyDescent="0.2">
      <c r="B35" s="45"/>
      <c r="D35" s="78"/>
      <c r="E35" s="68"/>
      <c r="F35" s="34">
        <v>0</v>
      </c>
      <c r="G35" s="37">
        <f t="shared" si="1"/>
        <v>0</v>
      </c>
    </row>
    <row r="36" spans="2:7" x14ac:dyDescent="0.2">
      <c r="B36" s="45"/>
      <c r="D36" s="78"/>
      <c r="E36" s="68"/>
      <c r="F36" s="34">
        <v>0</v>
      </c>
      <c r="G36" s="37">
        <f t="shared" si="1"/>
        <v>0</v>
      </c>
    </row>
    <row r="37" spans="2:7" x14ac:dyDescent="0.2">
      <c r="B37" s="45"/>
      <c r="D37" s="78"/>
      <c r="E37" s="68"/>
      <c r="F37" s="34">
        <v>0</v>
      </c>
      <c r="G37" s="37">
        <f t="shared" si="1"/>
        <v>0</v>
      </c>
    </row>
    <row r="38" spans="2:7" x14ac:dyDescent="0.2">
      <c r="B38" s="45"/>
      <c r="D38" s="78"/>
      <c r="E38" s="68"/>
      <c r="F38" s="34">
        <v>0</v>
      </c>
      <c r="G38" s="37">
        <f t="shared" si="1"/>
        <v>0</v>
      </c>
    </row>
    <row r="39" spans="2:7" x14ac:dyDescent="0.2">
      <c r="B39" s="45"/>
      <c r="D39" s="78"/>
      <c r="E39" s="68"/>
      <c r="F39" s="34">
        <v>0</v>
      </c>
      <c r="G39" s="37">
        <f t="shared" si="1"/>
        <v>0</v>
      </c>
    </row>
    <row r="40" spans="2:7" x14ac:dyDescent="0.2">
      <c r="B40" s="45"/>
      <c r="D40" s="78"/>
      <c r="E40" s="68"/>
      <c r="F40" s="34">
        <v>0</v>
      </c>
      <c r="G40" s="37">
        <f t="shared" si="1"/>
        <v>0</v>
      </c>
    </row>
    <row r="41" spans="2:7" x14ac:dyDescent="0.2">
      <c r="B41" s="45"/>
      <c r="D41" s="78"/>
      <c r="E41" s="68"/>
      <c r="F41" s="34">
        <v>0</v>
      </c>
      <c r="G41" s="37">
        <f t="shared" si="1"/>
        <v>0</v>
      </c>
    </row>
    <row r="42" spans="2:7" x14ac:dyDescent="0.2">
      <c r="D42" s="16" t="s">
        <v>198</v>
      </c>
      <c r="G42" s="40">
        <f>SUM(G32:G41)</f>
        <v>0</v>
      </c>
    </row>
    <row r="44" spans="2:7" ht="16" x14ac:dyDescent="0.2">
      <c r="B44" s="9" t="s">
        <v>199</v>
      </c>
      <c r="C44" s="10"/>
      <c r="D44" s="10"/>
      <c r="E44" s="10"/>
      <c r="F44" s="10"/>
    </row>
    <row r="46" spans="2:7" ht="30" x14ac:dyDescent="0.2">
      <c r="B46" s="17" t="s">
        <v>200</v>
      </c>
      <c r="G46" s="37">
        <f>MAX(G26+G42,ROUND(10*E9,-3))</f>
        <v>524000</v>
      </c>
    </row>
    <row r="47" spans="2:7" ht="30" x14ac:dyDescent="0.2">
      <c r="B47" s="17" t="s">
        <v>201</v>
      </c>
      <c r="G47" s="37">
        <f>MIN(G46,ROUND(7500*E9,-3))</f>
        <v>524000</v>
      </c>
    </row>
    <row r="49" spans="2:7" ht="16" x14ac:dyDescent="0.2">
      <c r="B49" s="9" t="s">
        <v>202</v>
      </c>
      <c r="C49" s="10"/>
      <c r="D49" s="10"/>
      <c r="E49" s="10"/>
      <c r="F49" s="10"/>
    </row>
    <row r="51" spans="2:7" ht="45" x14ac:dyDescent="0.2">
      <c r="B51" s="17" t="s">
        <v>203</v>
      </c>
      <c r="F51" s="30" t="s">
        <v>106</v>
      </c>
      <c r="G51" s="31" t="s">
        <v>204</v>
      </c>
    </row>
    <row r="52" spans="2:7" x14ac:dyDescent="0.2">
      <c r="D52" s="17" t="s">
        <v>205</v>
      </c>
      <c r="G52" s="37">
        <f>IF(F51="Sí",ROUND(G47*0.1,-3),0)</f>
        <v>0</v>
      </c>
    </row>
    <row r="54" spans="2:7" ht="45" x14ac:dyDescent="0.2">
      <c r="B54" s="17" t="s">
        <v>206</v>
      </c>
      <c r="F54" s="30" t="s">
        <v>106</v>
      </c>
      <c r="G54" s="31" t="s">
        <v>207</v>
      </c>
    </row>
    <row r="55" spans="2:7" x14ac:dyDescent="0.2">
      <c r="D55" s="17" t="s">
        <v>208</v>
      </c>
      <c r="G55" s="37">
        <f>IF(AND(F54="Sí",F51="No"),ROUND(G47*0.5,-3),0)</f>
        <v>0</v>
      </c>
    </row>
    <row r="57" spans="2:7" ht="60" x14ac:dyDescent="0.2">
      <c r="B57" s="17" t="s">
        <v>209</v>
      </c>
      <c r="F57" s="30" t="s">
        <v>106</v>
      </c>
      <c r="G57" s="31" t="s">
        <v>210</v>
      </c>
    </row>
    <row r="58" spans="2:7" x14ac:dyDescent="0.2">
      <c r="D58" s="17" t="s">
        <v>211</v>
      </c>
      <c r="G58" s="37">
        <f>IF(F57="Sí",ROUND(G47*0.7,-3),0)</f>
        <v>0</v>
      </c>
    </row>
    <row r="60" spans="2:7" x14ac:dyDescent="0.2">
      <c r="D60" s="16" t="s">
        <v>212</v>
      </c>
      <c r="G60" s="40">
        <f>IF(G52+G55+G58=0,G47,MIN(G47,SUM(G52,G55,G58)))</f>
        <v>524000</v>
      </c>
    </row>
    <row r="62" spans="2:7" ht="16" x14ac:dyDescent="0.2">
      <c r="B62" s="9" t="s">
        <v>213</v>
      </c>
      <c r="C62" s="10"/>
      <c r="D62" s="10"/>
      <c r="E62" s="10"/>
      <c r="F62" s="10"/>
    </row>
    <row r="64" spans="2:7" ht="30" x14ac:dyDescent="0.2">
      <c r="B64" s="17" t="s">
        <v>214</v>
      </c>
    </row>
    <row r="65" spans="2:7" ht="45" x14ac:dyDescent="0.2">
      <c r="B65" s="17" t="s">
        <v>215</v>
      </c>
      <c r="F65" s="30" t="s">
        <v>106</v>
      </c>
      <c r="G65" s="31" t="s">
        <v>216</v>
      </c>
    </row>
    <row r="66" spans="2:7" ht="45" x14ac:dyDescent="0.2">
      <c r="B66" s="17" t="s">
        <v>217</v>
      </c>
      <c r="F66" s="30" t="s">
        <v>106</v>
      </c>
      <c r="G66" s="31" t="s">
        <v>218</v>
      </c>
    </row>
    <row r="68" spans="2:7" ht="30" x14ac:dyDescent="0.2">
      <c r="B68" s="17" t="s">
        <v>219</v>
      </c>
    </row>
    <row r="69" spans="2:7" ht="45" x14ac:dyDescent="0.2">
      <c r="B69" s="17" t="s">
        <v>220</v>
      </c>
      <c r="F69" s="30" t="s">
        <v>106</v>
      </c>
      <c r="G69" s="31" t="s">
        <v>221</v>
      </c>
    </row>
    <row r="70" spans="2:7" ht="45" x14ac:dyDescent="0.2">
      <c r="B70" s="17" t="s">
        <v>215</v>
      </c>
      <c r="F70" s="30" t="s">
        <v>106</v>
      </c>
      <c r="G70" s="31" t="s">
        <v>222</v>
      </c>
    </row>
    <row r="72" spans="2:7" ht="30" x14ac:dyDescent="0.2">
      <c r="B72" s="17" t="s">
        <v>121</v>
      </c>
      <c r="G72" s="39">
        <f>IF(AND(F51="Sí",F65="No"),0.5,IF(AND(F51="Sí",F65="Sí",F66="No"),0.75,IF(AND(F51="No",F69="No"),0.5,IF(AND(F51="No",F69="Sí",F70="No"),0.75,1))))</f>
        <v>0.5</v>
      </c>
    </row>
    <row r="73" spans="2:7" ht="30" x14ac:dyDescent="0.2">
      <c r="B73" s="17" t="s">
        <v>223</v>
      </c>
      <c r="G73" s="37">
        <f>IF(G72&lt;1,ROUND(G60*G72,-3),0)</f>
        <v>262000</v>
      </c>
    </row>
    <row r="75" spans="2:7" ht="16" x14ac:dyDescent="0.2">
      <c r="B75" s="9" t="s">
        <v>224</v>
      </c>
      <c r="C75" s="10"/>
      <c r="D75" s="10"/>
      <c r="E75" s="10"/>
      <c r="F75" s="10"/>
    </row>
    <row r="77" spans="2:7" ht="24" x14ac:dyDescent="0.2">
      <c r="B77" s="46" t="s">
        <v>124</v>
      </c>
      <c r="G77" s="41">
        <f>IF(G72&lt;1,MAX(G73,ROUND(10*E9,-3)),MAX(G60,ROUND(10*E9,-3)))</f>
        <v>524000</v>
      </c>
    </row>
    <row r="80" spans="2:7" ht="30" customHeight="1" x14ac:dyDescent="0.2">
      <c r="B80" s="70" t="s">
        <v>131</v>
      </c>
      <c r="C80" s="68"/>
      <c r="D80" s="68"/>
      <c r="E80" s="68"/>
    </row>
    <row r="81" spans="2:7" x14ac:dyDescent="0.2">
      <c r="B81" s="73" t="s">
        <v>132</v>
      </c>
      <c r="C81" s="68"/>
      <c r="D81" s="68"/>
      <c r="E81" s="68"/>
    </row>
    <row r="82" spans="2:7" ht="22" customHeight="1" x14ac:dyDescent="0.2">
      <c r="B82" s="74" t="s">
        <v>133</v>
      </c>
      <c r="C82" s="68"/>
      <c r="D82" s="68"/>
      <c r="E82" s="68"/>
      <c r="F82" s="68"/>
      <c r="G82" s="68"/>
    </row>
    <row r="83" spans="2:7" x14ac:dyDescent="0.2">
      <c r="B83" s="69" t="s">
        <v>134</v>
      </c>
      <c r="C83" s="68"/>
      <c r="D83" s="68"/>
      <c r="E83" s="68"/>
      <c r="F83" s="68"/>
      <c r="G83" s="68"/>
    </row>
  </sheetData>
  <sheetProtection password="CEF4" sheet="1" objects="1" scenarios="1" formatCells="0" formatColumns="0" formatRows="0" sort="0" autoFilter="0"/>
  <mergeCells count="27">
    <mergeCell ref="D10:F10"/>
    <mergeCell ref="D25:E25"/>
    <mergeCell ref="D39:E39"/>
    <mergeCell ref="D24:E24"/>
    <mergeCell ref="D15:E15"/>
    <mergeCell ref="D33:E33"/>
    <mergeCell ref="D23:E23"/>
    <mergeCell ref="D38:E38"/>
    <mergeCell ref="D35:E35"/>
    <mergeCell ref="B83:G83"/>
    <mergeCell ref="D41:E41"/>
    <mergeCell ref="B81:E81"/>
    <mergeCell ref="D17:E17"/>
    <mergeCell ref="D16:E16"/>
    <mergeCell ref="D37:E37"/>
    <mergeCell ref="D18:E18"/>
    <mergeCell ref="B80:E80"/>
    <mergeCell ref="D36:E36"/>
    <mergeCell ref="D31:E31"/>
    <mergeCell ref="B82:G82"/>
    <mergeCell ref="D21:E21"/>
    <mergeCell ref="D32:E32"/>
    <mergeCell ref="D20:E20"/>
    <mergeCell ref="D19:E19"/>
    <mergeCell ref="D34:E34"/>
    <mergeCell ref="D22:E22"/>
    <mergeCell ref="D40:E40"/>
  </mergeCells>
  <conditionalFormatting sqref="B54:G55">
    <cfRule type="expression" dxfId="22" priority="5">
      <formula>$F$51="Sí"</formula>
    </cfRule>
  </conditionalFormatting>
  <conditionalFormatting sqref="B57:G58">
    <cfRule type="expression" dxfId="21" priority="6">
      <formula>$F$51="Sí"</formula>
    </cfRule>
  </conditionalFormatting>
  <conditionalFormatting sqref="B64:G66">
    <cfRule type="expression" dxfId="20" priority="3">
      <formula>$F$51&lt;&gt;"Sí"</formula>
    </cfRule>
  </conditionalFormatting>
  <conditionalFormatting sqref="B66:G66">
    <cfRule type="expression" dxfId="19" priority="1">
      <formula>OR($F$65&lt;&gt;"Sí",$F$51&lt;&gt;"Sí")</formula>
    </cfRule>
  </conditionalFormatting>
  <conditionalFormatting sqref="B68:G70">
    <cfRule type="expression" dxfId="18" priority="4">
      <formula>$F$51&lt;&gt;"No"</formula>
    </cfRule>
  </conditionalFormatting>
  <conditionalFormatting sqref="B70:G70">
    <cfRule type="expression" dxfId="17" priority="2">
      <formula>OR($F$69&lt;&gt;"Sí",$F$51&lt;&gt;"No")</formula>
    </cfRule>
  </conditionalFormatting>
  <dataValidations count="3">
    <dataValidation type="list" allowBlank="1" sqref="F51 F54 F57 F65:F66 F69:F70" xr:uid="{00000000-0002-0000-0500-000002000000}">
      <formula1>"Sí,No"</formula1>
    </dataValidation>
    <dataValidation type="whole" operator="greaterThanOrEqual" allowBlank="1" showInputMessage="1" showErrorMessage="1" errorTitle="Valor no válido" error="Ingrese un valor entero mayor o igual a cero." promptTitle="Valor información con cuantía" prompt="Valor total de la información con cuantía del formato indicado." sqref="F16 F17 F18 F19 F20 F21 F22 F23 F24 F25" xr:uid="{00000000-0002-0000-0500-000004000000}">
      <formula1>0</formula1>
    </dataValidation>
    <dataValidation type="whole" operator="greaterThanOrEqual" allowBlank="1" showInputMessage="1" showErrorMessage="1" errorTitle="Valor no válido" error="El número de datos debe ser un entero mayor o igual a cero." promptTitle="Número de datos sin cuantía" prompt="Cantidad de datos no suministrados o reportados con errores." sqref="F32 F33 F34 F35 F36 F37 F38 F39 F40 F41" xr:uid="{00000000-0002-0000-0500-000005000000}">
      <formula1>0</formula1>
    </dataValidation>
  </dataValidations>
  <hyperlinks>
    <hyperlink ref="B1" r:id="rId1" xr:uid="{00000000-0004-0000-0500-000000000000}"/>
    <hyperlink ref="F1" r:id="rId2" xr:uid="{00000000-0004-0000-0500-000001000000}"/>
    <hyperlink ref="B77" r:id="rId3" xr:uid="{00000000-0004-0000-0500-000002000000}"/>
    <hyperlink ref="B81" r:id="rId4" xr:uid="{00000000-0004-0000-0500-000003000000}"/>
    <hyperlink ref="B83" r:id="rId5" xr:uid="{00000000-0004-0000-0500-000004000000}"/>
  </hyperlinks>
  <pageMargins left="0.4" right="0.4" top="0.5" bottom="0.6" header="0.2" footer="0.3"/>
  <pageSetup fitToHeight="0" orientation="portrait"/>
  <headerFooter>
    <oddHeader>&amp;C&amp;"Calibri,Bold"&amp;9 &amp;K0A1628Sanción por Información Exógena</oddHeader>
    <oddFooter>&amp;L&amp;"Calibri"&amp;7 &amp;K6B7280tribai.co | INPLUX S.A.S.&amp;C&amp;"Calibri"&amp;7 &amp;P de &amp;N&amp;R&amp;"Calibri"&amp;7 &amp;K6B7280&amp;D</oddFooter>
  </headerFooter>
  <extLst>
    <ext xmlns:x14="http://schemas.microsoft.com/office/spreadsheetml/2009/9/main" uri="{CCE6A557-97BC-4b89-ADB6-D9C93CAAB3DF}">
      <x14:dataValidations xmlns:xm="http://schemas.microsoft.com/office/excel/2006/main" count="2">
        <x14:dataValidation type="list" xr:uid="{00000000-0002-0000-0500-000000000000}">
          <x14:formula1>
            <xm:f>Datos!$A$2:$A$21</xm:f>
          </x14:formula1>
          <xm:sqref>E8</xm:sqref>
        </x14:dataValidation>
        <x14:dataValidation type="list" xr:uid="{00000000-0002-0000-0500-000001000000}">
          <x14:formula1>
            <xm:f>Datos!$F$2:$F$4</xm:f>
          </x14:formula1>
          <xm:sqref>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pageSetUpPr fitToPage="1"/>
  </sheetPr>
  <dimension ref="A1:N211"/>
  <sheetViews>
    <sheetView tabSelected="1" workbookViewId="0">
      <pane ySplit="5" topLeftCell="A6" activePane="bottomLeft" state="frozen"/>
      <selection pane="bottomLeft" activeCell="E8" sqref="E8:F8"/>
    </sheetView>
  </sheetViews>
  <sheetFormatPr baseColWidth="10" defaultColWidth="8.83203125" defaultRowHeight="15" x14ac:dyDescent="0.2"/>
  <cols>
    <col min="1" max="1" width="3" customWidth="1"/>
    <col min="2" max="2" width="42" customWidth="1"/>
    <col min="3" max="4" width="20" customWidth="1"/>
    <col min="5" max="5" width="22" customWidth="1"/>
    <col min="6" max="6" width="14" customWidth="1"/>
    <col min="7" max="7" width="28" customWidth="1"/>
    <col min="8" max="8" width="10" customWidth="1"/>
    <col min="9" max="9" width="3" customWidth="1"/>
    <col min="10" max="12" width="18" customWidth="1"/>
    <col min="13" max="13" width="3" customWidth="1"/>
    <col min="14" max="14" width="3" hidden="1" customWidth="1"/>
  </cols>
  <sheetData>
    <row r="1" spans="1:14" ht="28" customHeight="1" x14ac:dyDescent="0.2">
      <c r="A1" s="1"/>
      <c r="B1" s="2" t="s">
        <v>0</v>
      </c>
      <c r="C1" s="1"/>
      <c r="D1" s="1"/>
      <c r="E1" s="1"/>
      <c r="F1" s="1"/>
      <c r="G1" s="1"/>
      <c r="H1" s="1"/>
      <c r="I1" s="3" t="s">
        <v>1</v>
      </c>
      <c r="J1" s="1"/>
    </row>
    <row r="2" spans="1:14" ht="18" customHeight="1" x14ac:dyDescent="0.2">
      <c r="A2" s="1"/>
      <c r="B2" s="4" t="s">
        <v>2</v>
      </c>
      <c r="C2" s="1"/>
      <c r="D2" s="1"/>
      <c r="E2" s="1"/>
      <c r="F2" s="1"/>
      <c r="G2" s="1"/>
      <c r="H2" s="1"/>
      <c r="I2" s="5" t="s">
        <v>3</v>
      </c>
      <c r="J2" s="1"/>
    </row>
    <row r="3" spans="1:14" ht="21" x14ac:dyDescent="0.25">
      <c r="B3" s="7" t="s">
        <v>225</v>
      </c>
    </row>
    <row r="4" spans="1:14" x14ac:dyDescent="0.2">
      <c r="B4" s="29" t="s">
        <v>226</v>
      </c>
      <c r="E4" s="8" t="s">
        <v>227</v>
      </c>
    </row>
    <row r="6" spans="1:14" ht="16" x14ac:dyDescent="0.2">
      <c r="B6" s="9" t="s">
        <v>228</v>
      </c>
      <c r="C6" s="10"/>
      <c r="D6" s="10"/>
      <c r="E6" s="10"/>
      <c r="F6" s="10"/>
    </row>
    <row r="8" spans="1:14" ht="26" x14ac:dyDescent="0.2">
      <c r="B8" s="17" t="s">
        <v>229</v>
      </c>
      <c r="E8" s="86">
        <v>0</v>
      </c>
      <c r="F8" s="68"/>
      <c r="G8" s="31" t="s">
        <v>230</v>
      </c>
      <c r="N8" s="47">
        <f>IF(E15=Datos!$J$5,5,4)</f>
        <v>4</v>
      </c>
    </row>
    <row r="9" spans="1:14" ht="26" x14ac:dyDescent="0.2">
      <c r="B9" s="17" t="s">
        <v>231</v>
      </c>
      <c r="E9" s="82"/>
      <c r="F9" s="68"/>
      <c r="G9" s="31" t="s">
        <v>232</v>
      </c>
      <c r="N9" s="48">
        <f>IF(E15=Datos!$J$2,1,IF(E15=Datos!$J$3,0.4,IF(E15=Datos!$J$4,0.5,IF(E15=Datos!$J$5,0.2,1))))</f>
        <v>1</v>
      </c>
    </row>
    <row r="10" spans="1:14" ht="26" x14ac:dyDescent="0.2">
      <c r="B10" s="17" t="s">
        <v>233</v>
      </c>
      <c r="E10" s="82"/>
      <c r="F10" s="68"/>
      <c r="G10" s="31" t="s">
        <v>234</v>
      </c>
      <c r="N10" t="b">
        <f>AND(E9&lt;=DATE(2025,12,31),E10&lt;=DATE(2026,4,30))</f>
        <v>1</v>
      </c>
    </row>
    <row r="11" spans="1:14" x14ac:dyDescent="0.2">
      <c r="N11" t="b">
        <f>AND(N10,E14="Sí")</f>
        <v>0</v>
      </c>
    </row>
    <row r="12" spans="1:14" ht="16" x14ac:dyDescent="0.2">
      <c r="B12" s="9" t="s">
        <v>235</v>
      </c>
      <c r="C12" s="10"/>
      <c r="D12" s="10"/>
      <c r="E12" s="10"/>
      <c r="F12" s="10"/>
    </row>
    <row r="13" spans="1:14" ht="30" customHeight="1" x14ac:dyDescent="0.2">
      <c r="B13" s="85" t="s">
        <v>236</v>
      </c>
      <c r="C13" s="68"/>
      <c r="D13" s="68"/>
      <c r="E13" s="68"/>
      <c r="F13" s="68"/>
      <c r="G13" s="68"/>
    </row>
    <row r="14" spans="1:14" ht="26" x14ac:dyDescent="0.2">
      <c r="B14" s="17" t="s">
        <v>237</v>
      </c>
      <c r="E14" s="30" t="s">
        <v>106</v>
      </c>
      <c r="G14" s="31" t="s">
        <v>238</v>
      </c>
    </row>
    <row r="15" spans="1:14" ht="26" x14ac:dyDescent="0.2">
      <c r="B15" s="17" t="s">
        <v>239</v>
      </c>
      <c r="E15" s="72" t="s">
        <v>70</v>
      </c>
      <c r="F15" s="68"/>
      <c r="G15" s="31" t="s">
        <v>240</v>
      </c>
    </row>
    <row r="17" spans="2:7" ht="16" x14ac:dyDescent="0.2">
      <c r="B17" s="9" t="s">
        <v>241</v>
      </c>
      <c r="C17" s="10"/>
      <c r="D17" s="10"/>
      <c r="E17" s="10"/>
      <c r="F17" s="10"/>
    </row>
    <row r="18" spans="2:7" x14ac:dyDescent="0.2">
      <c r="B18" s="17" t="s">
        <v>242</v>
      </c>
      <c r="E18" s="37">
        <f>IF(AND(E9&lt;&gt;"",E10&lt;&gt;"",E10&gt;E9),E10-E9,0)</f>
        <v>0</v>
      </c>
      <c r="G18" s="8" t="s">
        <v>243</v>
      </c>
    </row>
    <row r="19" spans="2:7" x14ac:dyDescent="0.2">
      <c r="B19" s="17" t="s">
        <v>244</v>
      </c>
      <c r="E19" s="81" t="str">
        <f>IF(AND(E9&lt;&gt;"",E10&lt;&gt;""),TEXT(E9+1,"DD/MM/YYYY")&amp;" al "&amp;TEXT(E10,"DD/MM/YYYY"),"")</f>
        <v/>
      </c>
      <c r="F19" s="77"/>
    </row>
    <row r="20" spans="2:7" x14ac:dyDescent="0.2">
      <c r="B20" s="17" t="s">
        <v>245</v>
      </c>
      <c r="E20" s="81" t="str">
        <f>IF(E10="","",IF(E10&gt;=DATE(2019,11,22),"Tasa única del día de pago","Tasa histórica de cada período"))</f>
        <v/>
      </c>
      <c r="F20" s="77"/>
      <c r="G20" s="8" t="s">
        <v>246</v>
      </c>
    </row>
    <row r="21" spans="2:7" x14ac:dyDescent="0.2">
      <c r="B21" s="17" t="s">
        <v>247</v>
      </c>
      <c r="E21" s="39">
        <f>IFERROR(VLOOKUP(E10,Tasas!$B$10:$F$200,4,TRUE),0)</f>
        <v>0</v>
      </c>
      <c r="G21" s="8" t="s">
        <v>248</v>
      </c>
    </row>
    <row r="22" spans="2:7" x14ac:dyDescent="0.2">
      <c r="B22" s="17" t="s">
        <v>249</v>
      </c>
      <c r="E22" s="39">
        <f>IF(N11,0.045,IFERROR(VLOOKUP(E10,Tasas!$B$10:$F$200,N8,TRUE)*N9,0))</f>
        <v>0</v>
      </c>
      <c r="G22" s="8" t="s">
        <v>250</v>
      </c>
    </row>
    <row r="24" spans="2:7" ht="16" x14ac:dyDescent="0.2">
      <c r="B24" s="9" t="s">
        <v>251</v>
      </c>
      <c r="C24" s="10"/>
      <c r="D24" s="10"/>
      <c r="E24" s="10"/>
      <c r="F24" s="10"/>
    </row>
    <row r="26" spans="2:7" x14ac:dyDescent="0.2">
      <c r="C26" s="49" t="s">
        <v>252</v>
      </c>
      <c r="D26" s="11" t="s">
        <v>253</v>
      </c>
    </row>
    <row r="27" spans="2:7" x14ac:dyDescent="0.2">
      <c r="B27" s="17" t="s">
        <v>254</v>
      </c>
      <c r="C27" s="37">
        <f>E8</f>
        <v>0</v>
      </c>
      <c r="D27" s="37">
        <f>E8</f>
        <v>0</v>
      </c>
    </row>
    <row r="28" spans="2:7" x14ac:dyDescent="0.2">
      <c r="B28" s="17" t="s">
        <v>255</v>
      </c>
      <c r="C28" s="39">
        <f>E21</f>
        <v>0</v>
      </c>
      <c r="D28" s="39">
        <f>E22</f>
        <v>0</v>
      </c>
    </row>
    <row r="29" spans="2:7" x14ac:dyDescent="0.2">
      <c r="B29" s="17" t="s">
        <v>242</v>
      </c>
      <c r="C29" s="37">
        <f>E18</f>
        <v>0</v>
      </c>
      <c r="D29" s="37">
        <f>E18</f>
        <v>0</v>
      </c>
    </row>
    <row r="30" spans="2:7" x14ac:dyDescent="0.2">
      <c r="B30" s="17" t="s">
        <v>256</v>
      </c>
      <c r="C30" s="40">
        <f>IF(E18&gt;0,ROUND(E8*E21/365*E18,-3),0)</f>
        <v>0</v>
      </c>
      <c r="D30" s="40">
        <f>IF(E18&gt;0,ROUND(E8*E22/365*E18,-3),0)</f>
        <v>0</v>
      </c>
    </row>
    <row r="32" spans="2:7" ht="28" customHeight="1" x14ac:dyDescent="0.2">
      <c r="B32" s="50" t="s">
        <v>257</v>
      </c>
      <c r="C32" s="51">
        <f>E8+C30</f>
        <v>0</v>
      </c>
      <c r="D32" s="52">
        <f>E8+D30</f>
        <v>0</v>
      </c>
      <c r="G32" s="42" t="s">
        <v>124</v>
      </c>
    </row>
    <row r="34" spans="2:7" ht="16" x14ac:dyDescent="0.2">
      <c r="B34" s="53" t="s">
        <v>258</v>
      </c>
      <c r="C34" s="80">
        <f>IFERROR(MAX(0,(E8+C30)-(E8+D30)),0)</f>
        <v>0</v>
      </c>
      <c r="D34" s="77"/>
    </row>
    <row r="36" spans="2:7" ht="30" customHeight="1" x14ac:dyDescent="0.2">
      <c r="B36" s="83" t="s">
        <v>259</v>
      </c>
      <c r="C36" s="68"/>
      <c r="D36" s="68"/>
      <c r="E36" s="68"/>
      <c r="F36" s="68"/>
      <c r="G36" s="68"/>
    </row>
    <row r="38" spans="2:7" ht="16" x14ac:dyDescent="0.2">
      <c r="B38" s="9" t="s">
        <v>260</v>
      </c>
      <c r="C38" s="10"/>
      <c r="D38" s="10"/>
      <c r="E38" s="10"/>
      <c r="F38" s="10"/>
    </row>
    <row r="39" spans="2:7" x14ac:dyDescent="0.2">
      <c r="B39" s="8" t="s">
        <v>261</v>
      </c>
    </row>
    <row r="40" spans="2:7" x14ac:dyDescent="0.2">
      <c r="B40" s="11" t="s">
        <v>62</v>
      </c>
      <c r="C40" s="11" t="s">
        <v>262</v>
      </c>
      <c r="D40" s="11" t="s">
        <v>263</v>
      </c>
      <c r="E40" s="11" t="s">
        <v>264</v>
      </c>
    </row>
    <row r="41" spans="2:7" x14ac:dyDescent="0.2">
      <c r="B41" s="54">
        <v>2015</v>
      </c>
      <c r="C41" s="55">
        <f>IF(OR(E$9="",E$10=""),0,MAX(0,MIN(E$10,DATE(2015,12,31))-MAX(E$9+1,DATE(2015,1,1))+1))</f>
        <v>0</v>
      </c>
      <c r="D41" s="55">
        <f t="shared" ref="D41:D56" si="0">IF(C41=0,0,ROUND(E$8*E$21/365*C41,-3))</f>
        <v>0</v>
      </c>
      <c r="E41" s="55">
        <f t="shared" ref="E41:E56" si="1">IF(C41=0,0,ROUND(E$8*E$22/365*C41,-3))</f>
        <v>0</v>
      </c>
    </row>
    <row r="42" spans="2:7" x14ac:dyDescent="0.2">
      <c r="B42" s="54">
        <v>2016</v>
      </c>
      <c r="C42" s="55">
        <f>IF(OR(E$9="",E$10=""),0,MAX(0,MIN(E$10,DATE(2016,12,31))-MAX(E$9+1,DATE(2016,1,1))+1))</f>
        <v>0</v>
      </c>
      <c r="D42" s="55">
        <f t="shared" si="0"/>
        <v>0</v>
      </c>
      <c r="E42" s="55">
        <f t="shared" si="1"/>
        <v>0</v>
      </c>
    </row>
    <row r="43" spans="2:7" x14ac:dyDescent="0.2">
      <c r="B43" s="54">
        <v>2017</v>
      </c>
      <c r="C43" s="55">
        <f>IF(OR(E$9="",E$10=""),0,MAX(0,MIN(E$10,DATE(2017,12,31))-MAX(E$9+1,DATE(2017,1,1))+1))</f>
        <v>0</v>
      </c>
      <c r="D43" s="55">
        <f t="shared" si="0"/>
        <v>0</v>
      </c>
      <c r="E43" s="55">
        <f t="shared" si="1"/>
        <v>0</v>
      </c>
    </row>
    <row r="44" spans="2:7" x14ac:dyDescent="0.2">
      <c r="B44" s="54">
        <v>2018</v>
      </c>
      <c r="C44" s="55">
        <f>IF(OR(E$9="",E$10=""),0,MAX(0,MIN(E$10,DATE(2018,12,31))-MAX(E$9+1,DATE(2018,1,1))+1))</f>
        <v>0</v>
      </c>
      <c r="D44" s="55">
        <f t="shared" si="0"/>
        <v>0</v>
      </c>
      <c r="E44" s="55">
        <f t="shared" si="1"/>
        <v>0</v>
      </c>
    </row>
    <row r="45" spans="2:7" x14ac:dyDescent="0.2">
      <c r="B45" s="54">
        <v>2019</v>
      </c>
      <c r="C45" s="55">
        <f>IF(OR(E$9="",E$10=""),0,MAX(0,MIN(E$10,DATE(2019,12,31))-MAX(E$9+1,DATE(2019,1,1))+1))</f>
        <v>0</v>
      </c>
      <c r="D45" s="55">
        <f t="shared" si="0"/>
        <v>0</v>
      </c>
      <c r="E45" s="55">
        <f t="shared" si="1"/>
        <v>0</v>
      </c>
    </row>
    <row r="46" spans="2:7" x14ac:dyDescent="0.2">
      <c r="B46" s="54">
        <v>2020</v>
      </c>
      <c r="C46" s="55">
        <f>IF(OR(E$9="",E$10=""),0,MAX(0,MIN(E$10,DATE(2020,12,31))-MAX(E$9+1,DATE(2020,1,1))+1))</f>
        <v>0</v>
      </c>
      <c r="D46" s="55">
        <f t="shared" si="0"/>
        <v>0</v>
      </c>
      <c r="E46" s="55">
        <f t="shared" si="1"/>
        <v>0</v>
      </c>
    </row>
    <row r="47" spans="2:7" x14ac:dyDescent="0.2">
      <c r="B47" s="54">
        <v>2021</v>
      </c>
      <c r="C47" s="55">
        <f>IF(OR(E$9="",E$10=""),0,MAX(0,MIN(E$10,DATE(2021,12,31))-MAX(E$9+1,DATE(2021,1,1))+1))</f>
        <v>0</v>
      </c>
      <c r="D47" s="55">
        <f t="shared" si="0"/>
        <v>0</v>
      </c>
      <c r="E47" s="55">
        <f t="shared" si="1"/>
        <v>0</v>
      </c>
    </row>
    <row r="48" spans="2:7" x14ac:dyDescent="0.2">
      <c r="B48" s="54">
        <v>2022</v>
      </c>
      <c r="C48" s="55">
        <f>IF(OR(E$9="",E$10=""),0,MAX(0,MIN(E$10,DATE(2022,12,31))-MAX(E$9+1,DATE(2022,1,1))+1))</f>
        <v>0</v>
      </c>
      <c r="D48" s="55">
        <f t="shared" si="0"/>
        <v>0</v>
      </c>
      <c r="E48" s="55">
        <f t="shared" si="1"/>
        <v>0</v>
      </c>
    </row>
    <row r="49" spans="2:10" x14ac:dyDescent="0.2">
      <c r="B49" s="54">
        <v>2023</v>
      </c>
      <c r="C49" s="55">
        <f>IF(OR(E$9="",E$10=""),0,MAX(0,MIN(E$10,DATE(2023,12,31))-MAX(E$9+1,DATE(2023,1,1))+1))</f>
        <v>0</v>
      </c>
      <c r="D49" s="55">
        <f t="shared" si="0"/>
        <v>0</v>
      </c>
      <c r="E49" s="55">
        <f t="shared" si="1"/>
        <v>0</v>
      </c>
    </row>
    <row r="50" spans="2:10" x14ac:dyDescent="0.2">
      <c r="B50" s="54">
        <v>2024</v>
      </c>
      <c r="C50" s="55">
        <f>IF(OR(E$9="",E$10=""),0,MAX(0,MIN(E$10,DATE(2024,12,31))-MAX(E$9+1,DATE(2024,1,1))+1))</f>
        <v>0</v>
      </c>
      <c r="D50" s="55">
        <f t="shared" si="0"/>
        <v>0</v>
      </c>
      <c r="E50" s="55">
        <f t="shared" si="1"/>
        <v>0</v>
      </c>
    </row>
    <row r="51" spans="2:10" x14ac:dyDescent="0.2">
      <c r="B51" s="54">
        <v>2025</v>
      </c>
      <c r="C51" s="55">
        <f>IF(OR(E$9="",E$10=""),0,MAX(0,MIN(E$10,DATE(2025,12,31))-MAX(E$9+1,DATE(2025,1,1))+1))</f>
        <v>0</v>
      </c>
      <c r="D51" s="55">
        <f t="shared" si="0"/>
        <v>0</v>
      </c>
      <c r="E51" s="55">
        <f t="shared" si="1"/>
        <v>0</v>
      </c>
    </row>
    <row r="52" spans="2:10" x14ac:dyDescent="0.2">
      <c r="B52" s="54">
        <v>2026</v>
      </c>
      <c r="C52" s="55">
        <f>IF(OR(E$9="",E$10=""),0,MAX(0,MIN(E$10,DATE(2026,12,31))-MAX(E$9+1,DATE(2026,1,1))+1))</f>
        <v>0</v>
      </c>
      <c r="D52" s="55">
        <f t="shared" si="0"/>
        <v>0</v>
      </c>
      <c r="E52" s="55">
        <f t="shared" si="1"/>
        <v>0</v>
      </c>
    </row>
    <row r="53" spans="2:10" x14ac:dyDescent="0.2">
      <c r="B53" s="54">
        <v>2027</v>
      </c>
      <c r="C53" s="55">
        <f>IF(OR(E$9="",E$10=""),0,MAX(0,MIN(E$10,DATE(2027,12,31))-MAX(E$9+1,DATE(2027,1,1))+1))</f>
        <v>0</v>
      </c>
      <c r="D53" s="55">
        <f t="shared" si="0"/>
        <v>0</v>
      </c>
      <c r="E53" s="55">
        <f t="shared" si="1"/>
        <v>0</v>
      </c>
    </row>
    <row r="54" spans="2:10" x14ac:dyDescent="0.2">
      <c r="B54" s="54">
        <v>2028</v>
      </c>
      <c r="C54" s="55">
        <f>IF(OR(E$9="",E$10=""),0,MAX(0,MIN(E$10,DATE(2028,12,31))-MAX(E$9+1,DATE(2028,1,1))+1))</f>
        <v>0</v>
      </c>
      <c r="D54" s="55">
        <f t="shared" si="0"/>
        <v>0</v>
      </c>
      <c r="E54" s="55">
        <f t="shared" si="1"/>
        <v>0</v>
      </c>
    </row>
    <row r="55" spans="2:10" x14ac:dyDescent="0.2">
      <c r="B55" s="54">
        <v>2029</v>
      </c>
      <c r="C55" s="55">
        <f>IF(OR(E$9="",E$10=""),0,MAX(0,MIN(E$10,DATE(2029,12,31))-MAX(E$9+1,DATE(2029,1,1))+1))</f>
        <v>0</v>
      </c>
      <c r="D55" s="55">
        <f t="shared" si="0"/>
        <v>0</v>
      </c>
      <c r="E55" s="55">
        <f t="shared" si="1"/>
        <v>0</v>
      </c>
    </row>
    <row r="56" spans="2:10" x14ac:dyDescent="0.2">
      <c r="B56" s="54">
        <v>2030</v>
      </c>
      <c r="C56" s="55">
        <f>IF(OR(E$9="",E$10=""),0,MAX(0,MIN(E$10,DATE(2030,12,31))-MAX(E$9+1,DATE(2030,1,1))+1))</f>
        <v>0</v>
      </c>
      <c r="D56" s="55">
        <f t="shared" si="0"/>
        <v>0</v>
      </c>
      <c r="E56" s="55">
        <f t="shared" si="1"/>
        <v>0</v>
      </c>
    </row>
    <row r="57" spans="2:10" x14ac:dyDescent="0.2">
      <c r="B57" s="84" t="s">
        <v>265</v>
      </c>
      <c r="C57" s="68"/>
      <c r="D57" s="68"/>
      <c r="E57" s="68"/>
      <c r="F57" s="68"/>
      <c r="G57" s="68"/>
      <c r="H57" s="68"/>
      <c r="I57" s="68"/>
      <c r="J57" s="68"/>
    </row>
    <row r="59" spans="2:10" ht="16" x14ac:dyDescent="0.2">
      <c r="B59" s="9" t="s">
        <v>266</v>
      </c>
      <c r="C59" s="10"/>
      <c r="D59" s="10"/>
      <c r="E59" s="10"/>
      <c r="F59" s="10"/>
    </row>
    <row r="60" spans="2:10" x14ac:dyDescent="0.2">
      <c r="B60" s="8" t="s">
        <v>267</v>
      </c>
    </row>
    <row r="61" spans="2:10" x14ac:dyDescent="0.2">
      <c r="B61" s="11" t="s">
        <v>268</v>
      </c>
      <c r="C61" s="11" t="s">
        <v>269</v>
      </c>
      <c r="D61" s="11" t="s">
        <v>270</v>
      </c>
      <c r="E61" s="11" t="s">
        <v>271</v>
      </c>
      <c r="F61" s="11" t="s">
        <v>272</v>
      </c>
      <c r="G61" s="11" t="s">
        <v>273</v>
      </c>
      <c r="H61" s="11" t="s">
        <v>274</v>
      </c>
      <c r="I61" s="11" t="s">
        <v>275</v>
      </c>
      <c r="J61" s="11" t="s">
        <v>276</v>
      </c>
    </row>
    <row r="62" spans="2:10" x14ac:dyDescent="0.2">
      <c r="B62" s="56" t="str">
        <f t="shared" ref="B62:B93" si="2">IF(C62="","",PROPER(TEXT(C62,"MMMM YYYY")))</f>
        <v/>
      </c>
      <c r="C62" s="57" t="str">
        <f>IF(OR(E$9="",E$10=""),"",E$9+1)</f>
        <v/>
      </c>
      <c r="D62" s="57" t="str">
        <f t="shared" ref="D62:D93" si="3">IF(C62="","",MIN(E$10,EOMONTH(C62,0)))</f>
        <v/>
      </c>
      <c r="E62" s="58">
        <f t="shared" ref="E62:E93" si="4">IF(C62="",0,D62-C62+1)</f>
        <v>0</v>
      </c>
      <c r="F62" s="59" t="str">
        <f>IF(C62="","",IF(E$10&gt;=DATE(2019,11,22),E$21,IFERROR(VLOOKUP(C62,Tasas!$B$10:$F$200,4,TRUE),0)))</f>
        <v/>
      </c>
      <c r="G62" s="60">
        <f t="shared" ref="G62:G93" si="5">IF(C62="",0,ROUND(E$8*F62/365*E62,2))</f>
        <v>0</v>
      </c>
      <c r="H62" s="59" t="str">
        <f>IF(C62="","",IF(N$11,0.045,IF(E$10&gt;=DATE(2019,11,22),E$22,IFERROR(VLOOKUP(C62,Tasas!$B$10:$F$200,N$8,TRUE)*N$9,0))))</f>
        <v/>
      </c>
      <c r="I62" s="60">
        <f t="shared" ref="I62:I93" si="6">IF(C62="",0,ROUND(E$8*H62/365*E62,2))</f>
        <v>0</v>
      </c>
      <c r="J62" s="58" t="str">
        <f>IF(C62="","",G62)</f>
        <v/>
      </c>
    </row>
    <row r="63" spans="2:10" x14ac:dyDescent="0.2">
      <c r="B63" s="56" t="str">
        <f t="shared" si="2"/>
        <v/>
      </c>
      <c r="C63" s="57" t="str">
        <f t="shared" ref="C63:C94" si="7">IF(OR(C62="",D62="",D62&gt;=E$10),"",D62+1)</f>
        <v/>
      </c>
      <c r="D63" s="57" t="str">
        <f t="shared" si="3"/>
        <v/>
      </c>
      <c r="E63" s="58">
        <f t="shared" si="4"/>
        <v>0</v>
      </c>
      <c r="F63" s="59" t="str">
        <f>IF(C63="","",IF(E$10&gt;=DATE(2019,11,22),E$21,IFERROR(VLOOKUP(C63,Tasas!$B$10:$F$200,4,TRUE),0)))</f>
        <v/>
      </c>
      <c r="G63" s="60">
        <f t="shared" si="5"/>
        <v>0</v>
      </c>
      <c r="H63" s="59" t="str">
        <f>IF(C63="","",IF(N$11,0.045,IF(E$10&gt;=DATE(2019,11,22),E$22,IFERROR(VLOOKUP(C63,Tasas!$B$10:$F$200,N$8,TRUE)*N$9,0))))</f>
        <v/>
      </c>
      <c r="I63" s="60">
        <f t="shared" si="6"/>
        <v>0</v>
      </c>
      <c r="J63" s="58" t="str">
        <f t="shared" ref="J63:J94" si="8">IF(C63="","",IF(ISNUMBER(J62),J62+G63,G63))</f>
        <v/>
      </c>
    </row>
    <row r="64" spans="2:10" x14ac:dyDescent="0.2">
      <c r="B64" s="56" t="str">
        <f t="shared" si="2"/>
        <v/>
      </c>
      <c r="C64" s="57" t="str">
        <f t="shared" si="7"/>
        <v/>
      </c>
      <c r="D64" s="57" t="str">
        <f t="shared" si="3"/>
        <v/>
      </c>
      <c r="E64" s="58">
        <f t="shared" si="4"/>
        <v>0</v>
      </c>
      <c r="F64" s="59" t="str">
        <f>IF(C64="","",IF(E$10&gt;=DATE(2019,11,22),E$21,IFERROR(VLOOKUP(C64,Tasas!$B$10:$F$200,4,TRUE),0)))</f>
        <v/>
      </c>
      <c r="G64" s="60">
        <f t="shared" si="5"/>
        <v>0</v>
      </c>
      <c r="H64" s="59" t="str">
        <f>IF(C64="","",IF(N$11,0.045,IF(E$10&gt;=DATE(2019,11,22),E$22,IFERROR(VLOOKUP(C64,Tasas!$B$10:$F$200,N$8,TRUE)*N$9,0))))</f>
        <v/>
      </c>
      <c r="I64" s="60">
        <f t="shared" si="6"/>
        <v>0</v>
      </c>
      <c r="J64" s="58" t="str">
        <f t="shared" si="8"/>
        <v/>
      </c>
    </row>
    <row r="65" spans="2:10" x14ac:dyDescent="0.2">
      <c r="B65" s="56" t="str">
        <f t="shared" si="2"/>
        <v/>
      </c>
      <c r="C65" s="57" t="str">
        <f t="shared" si="7"/>
        <v/>
      </c>
      <c r="D65" s="57" t="str">
        <f t="shared" si="3"/>
        <v/>
      </c>
      <c r="E65" s="58">
        <f t="shared" si="4"/>
        <v>0</v>
      </c>
      <c r="F65" s="59" t="str">
        <f>IF(C65="","",IF(E$10&gt;=DATE(2019,11,22),E$21,IFERROR(VLOOKUP(C65,Tasas!$B$10:$F$200,4,TRUE),0)))</f>
        <v/>
      </c>
      <c r="G65" s="60">
        <f t="shared" si="5"/>
        <v>0</v>
      </c>
      <c r="H65" s="59" t="str">
        <f>IF(C65="","",IF(N$11,0.045,IF(E$10&gt;=DATE(2019,11,22),E$22,IFERROR(VLOOKUP(C65,Tasas!$B$10:$F$200,N$8,TRUE)*N$9,0))))</f>
        <v/>
      </c>
      <c r="I65" s="60">
        <f t="shared" si="6"/>
        <v>0</v>
      </c>
      <c r="J65" s="58" t="str">
        <f t="shared" si="8"/>
        <v/>
      </c>
    </row>
    <row r="66" spans="2:10" x14ac:dyDescent="0.2">
      <c r="B66" s="56" t="str">
        <f t="shared" si="2"/>
        <v/>
      </c>
      <c r="C66" s="57" t="str">
        <f t="shared" si="7"/>
        <v/>
      </c>
      <c r="D66" s="57" t="str">
        <f t="shared" si="3"/>
        <v/>
      </c>
      <c r="E66" s="58">
        <f t="shared" si="4"/>
        <v>0</v>
      </c>
      <c r="F66" s="59" t="str">
        <f>IF(C66="","",IF(E$10&gt;=DATE(2019,11,22),E$21,IFERROR(VLOOKUP(C66,Tasas!$B$10:$F$200,4,TRUE),0)))</f>
        <v/>
      </c>
      <c r="G66" s="60">
        <f t="shared" si="5"/>
        <v>0</v>
      </c>
      <c r="H66" s="59" t="str">
        <f>IF(C66="","",IF(N$11,0.045,IF(E$10&gt;=DATE(2019,11,22),E$22,IFERROR(VLOOKUP(C66,Tasas!$B$10:$F$200,N$8,TRUE)*N$9,0))))</f>
        <v/>
      </c>
      <c r="I66" s="60">
        <f t="shared" si="6"/>
        <v>0</v>
      </c>
      <c r="J66" s="58" t="str">
        <f t="shared" si="8"/>
        <v/>
      </c>
    </row>
    <row r="67" spans="2:10" x14ac:dyDescent="0.2">
      <c r="B67" s="56" t="str">
        <f t="shared" si="2"/>
        <v/>
      </c>
      <c r="C67" s="57" t="str">
        <f t="shared" si="7"/>
        <v/>
      </c>
      <c r="D67" s="57" t="str">
        <f t="shared" si="3"/>
        <v/>
      </c>
      <c r="E67" s="58">
        <f t="shared" si="4"/>
        <v>0</v>
      </c>
      <c r="F67" s="59" t="str">
        <f>IF(C67="","",IF(E$10&gt;=DATE(2019,11,22),E$21,IFERROR(VLOOKUP(C67,Tasas!$B$10:$F$200,4,TRUE),0)))</f>
        <v/>
      </c>
      <c r="G67" s="60">
        <f t="shared" si="5"/>
        <v>0</v>
      </c>
      <c r="H67" s="59" t="str">
        <f>IF(C67="","",IF(N$11,0.045,IF(E$10&gt;=DATE(2019,11,22),E$22,IFERROR(VLOOKUP(C67,Tasas!$B$10:$F$200,N$8,TRUE)*N$9,0))))</f>
        <v/>
      </c>
      <c r="I67" s="60">
        <f t="shared" si="6"/>
        <v>0</v>
      </c>
      <c r="J67" s="58" t="str">
        <f t="shared" si="8"/>
        <v/>
      </c>
    </row>
    <row r="68" spans="2:10" x14ac:dyDescent="0.2">
      <c r="B68" s="56" t="str">
        <f t="shared" si="2"/>
        <v/>
      </c>
      <c r="C68" s="57" t="str">
        <f t="shared" si="7"/>
        <v/>
      </c>
      <c r="D68" s="57" t="str">
        <f t="shared" si="3"/>
        <v/>
      </c>
      <c r="E68" s="58">
        <f t="shared" si="4"/>
        <v>0</v>
      </c>
      <c r="F68" s="59" t="str">
        <f>IF(C68="","",IF(E$10&gt;=DATE(2019,11,22),E$21,IFERROR(VLOOKUP(C68,Tasas!$B$10:$F$200,4,TRUE),0)))</f>
        <v/>
      </c>
      <c r="G68" s="60">
        <f t="shared" si="5"/>
        <v>0</v>
      </c>
      <c r="H68" s="59" t="str">
        <f>IF(C68="","",IF(N$11,0.045,IF(E$10&gt;=DATE(2019,11,22),E$22,IFERROR(VLOOKUP(C68,Tasas!$B$10:$F$200,N$8,TRUE)*N$9,0))))</f>
        <v/>
      </c>
      <c r="I68" s="60">
        <f t="shared" si="6"/>
        <v>0</v>
      </c>
      <c r="J68" s="58" t="str">
        <f t="shared" si="8"/>
        <v/>
      </c>
    </row>
    <row r="69" spans="2:10" x14ac:dyDescent="0.2">
      <c r="B69" s="56" t="str">
        <f t="shared" si="2"/>
        <v/>
      </c>
      <c r="C69" s="57" t="str">
        <f t="shared" si="7"/>
        <v/>
      </c>
      <c r="D69" s="57" t="str">
        <f t="shared" si="3"/>
        <v/>
      </c>
      <c r="E69" s="58">
        <f t="shared" si="4"/>
        <v>0</v>
      </c>
      <c r="F69" s="59" t="str">
        <f>IF(C69="","",IF(E$10&gt;=DATE(2019,11,22),E$21,IFERROR(VLOOKUP(C69,Tasas!$B$10:$F$200,4,TRUE),0)))</f>
        <v/>
      </c>
      <c r="G69" s="60">
        <f t="shared" si="5"/>
        <v>0</v>
      </c>
      <c r="H69" s="59" t="str">
        <f>IF(C69="","",IF(N$11,0.045,IF(E$10&gt;=DATE(2019,11,22),E$22,IFERROR(VLOOKUP(C69,Tasas!$B$10:$F$200,N$8,TRUE)*N$9,0))))</f>
        <v/>
      </c>
      <c r="I69" s="60">
        <f t="shared" si="6"/>
        <v>0</v>
      </c>
      <c r="J69" s="58" t="str">
        <f t="shared" si="8"/>
        <v/>
      </c>
    </row>
    <row r="70" spans="2:10" x14ac:dyDescent="0.2">
      <c r="B70" s="56" t="str">
        <f t="shared" si="2"/>
        <v/>
      </c>
      <c r="C70" s="57" t="str">
        <f t="shared" si="7"/>
        <v/>
      </c>
      <c r="D70" s="57" t="str">
        <f t="shared" si="3"/>
        <v/>
      </c>
      <c r="E70" s="58">
        <f t="shared" si="4"/>
        <v>0</v>
      </c>
      <c r="F70" s="59" t="str">
        <f>IF(C70="","",IF(E$10&gt;=DATE(2019,11,22),E$21,IFERROR(VLOOKUP(C70,Tasas!$B$10:$F$200,4,TRUE),0)))</f>
        <v/>
      </c>
      <c r="G70" s="60">
        <f t="shared" si="5"/>
        <v>0</v>
      </c>
      <c r="H70" s="59" t="str">
        <f>IF(C70="","",IF(N$11,0.045,IF(E$10&gt;=DATE(2019,11,22),E$22,IFERROR(VLOOKUP(C70,Tasas!$B$10:$F$200,N$8,TRUE)*N$9,0))))</f>
        <v/>
      </c>
      <c r="I70" s="60">
        <f t="shared" si="6"/>
        <v>0</v>
      </c>
      <c r="J70" s="58" t="str">
        <f t="shared" si="8"/>
        <v/>
      </c>
    </row>
    <row r="71" spans="2:10" x14ac:dyDescent="0.2">
      <c r="B71" s="56" t="str">
        <f t="shared" si="2"/>
        <v/>
      </c>
      <c r="C71" s="57" t="str">
        <f t="shared" si="7"/>
        <v/>
      </c>
      <c r="D71" s="57" t="str">
        <f t="shared" si="3"/>
        <v/>
      </c>
      <c r="E71" s="58">
        <f t="shared" si="4"/>
        <v>0</v>
      </c>
      <c r="F71" s="59" t="str">
        <f>IF(C71="","",IF(E$10&gt;=DATE(2019,11,22),E$21,IFERROR(VLOOKUP(C71,Tasas!$B$10:$F$200,4,TRUE),0)))</f>
        <v/>
      </c>
      <c r="G71" s="60">
        <f t="shared" si="5"/>
        <v>0</v>
      </c>
      <c r="H71" s="59" t="str">
        <f>IF(C71="","",IF(N$11,0.045,IF(E$10&gt;=DATE(2019,11,22),E$22,IFERROR(VLOOKUP(C71,Tasas!$B$10:$F$200,N$8,TRUE)*N$9,0))))</f>
        <v/>
      </c>
      <c r="I71" s="60">
        <f t="shared" si="6"/>
        <v>0</v>
      </c>
      <c r="J71" s="58" t="str">
        <f t="shared" si="8"/>
        <v/>
      </c>
    </row>
    <row r="72" spans="2:10" x14ac:dyDescent="0.2">
      <c r="B72" s="56" t="str">
        <f t="shared" si="2"/>
        <v/>
      </c>
      <c r="C72" s="57" t="str">
        <f t="shared" si="7"/>
        <v/>
      </c>
      <c r="D72" s="57" t="str">
        <f t="shared" si="3"/>
        <v/>
      </c>
      <c r="E72" s="58">
        <f t="shared" si="4"/>
        <v>0</v>
      </c>
      <c r="F72" s="59" t="str">
        <f>IF(C72="","",IF(E$10&gt;=DATE(2019,11,22),E$21,IFERROR(VLOOKUP(C72,Tasas!$B$10:$F$200,4,TRUE),0)))</f>
        <v/>
      </c>
      <c r="G72" s="60">
        <f t="shared" si="5"/>
        <v>0</v>
      </c>
      <c r="H72" s="59" t="str">
        <f>IF(C72="","",IF(N$11,0.045,IF(E$10&gt;=DATE(2019,11,22),E$22,IFERROR(VLOOKUP(C72,Tasas!$B$10:$F$200,N$8,TRUE)*N$9,0))))</f>
        <v/>
      </c>
      <c r="I72" s="60">
        <f t="shared" si="6"/>
        <v>0</v>
      </c>
      <c r="J72" s="58" t="str">
        <f t="shared" si="8"/>
        <v/>
      </c>
    </row>
    <row r="73" spans="2:10" x14ac:dyDescent="0.2">
      <c r="B73" s="56" t="str">
        <f t="shared" si="2"/>
        <v/>
      </c>
      <c r="C73" s="57" t="str">
        <f t="shared" si="7"/>
        <v/>
      </c>
      <c r="D73" s="57" t="str">
        <f t="shared" si="3"/>
        <v/>
      </c>
      <c r="E73" s="58">
        <f t="shared" si="4"/>
        <v>0</v>
      </c>
      <c r="F73" s="59" t="str">
        <f>IF(C73="","",IF(E$10&gt;=DATE(2019,11,22),E$21,IFERROR(VLOOKUP(C73,Tasas!$B$10:$F$200,4,TRUE),0)))</f>
        <v/>
      </c>
      <c r="G73" s="60">
        <f t="shared" si="5"/>
        <v>0</v>
      </c>
      <c r="H73" s="59" t="str">
        <f>IF(C73="","",IF(N$11,0.045,IF(E$10&gt;=DATE(2019,11,22),E$22,IFERROR(VLOOKUP(C73,Tasas!$B$10:$F$200,N$8,TRUE)*N$9,0))))</f>
        <v/>
      </c>
      <c r="I73" s="60">
        <f t="shared" si="6"/>
        <v>0</v>
      </c>
      <c r="J73" s="58" t="str">
        <f t="shared" si="8"/>
        <v/>
      </c>
    </row>
    <row r="74" spans="2:10" x14ac:dyDescent="0.2">
      <c r="B74" s="56" t="str">
        <f t="shared" si="2"/>
        <v/>
      </c>
      <c r="C74" s="57" t="str">
        <f t="shared" si="7"/>
        <v/>
      </c>
      <c r="D74" s="57" t="str">
        <f t="shared" si="3"/>
        <v/>
      </c>
      <c r="E74" s="58">
        <f t="shared" si="4"/>
        <v>0</v>
      </c>
      <c r="F74" s="59" t="str">
        <f>IF(C74="","",IF(E$10&gt;=DATE(2019,11,22),E$21,IFERROR(VLOOKUP(C74,Tasas!$B$10:$F$200,4,TRUE),0)))</f>
        <v/>
      </c>
      <c r="G74" s="60">
        <f t="shared" si="5"/>
        <v>0</v>
      </c>
      <c r="H74" s="59" t="str">
        <f>IF(C74="","",IF(N$11,0.045,IF(E$10&gt;=DATE(2019,11,22),E$22,IFERROR(VLOOKUP(C74,Tasas!$B$10:$F$200,N$8,TRUE)*N$9,0))))</f>
        <v/>
      </c>
      <c r="I74" s="60">
        <f t="shared" si="6"/>
        <v>0</v>
      </c>
      <c r="J74" s="58" t="str">
        <f t="shared" si="8"/>
        <v/>
      </c>
    </row>
    <row r="75" spans="2:10" x14ac:dyDescent="0.2">
      <c r="B75" s="56" t="str">
        <f t="shared" si="2"/>
        <v/>
      </c>
      <c r="C75" s="57" t="str">
        <f t="shared" si="7"/>
        <v/>
      </c>
      <c r="D75" s="57" t="str">
        <f t="shared" si="3"/>
        <v/>
      </c>
      <c r="E75" s="58">
        <f t="shared" si="4"/>
        <v>0</v>
      </c>
      <c r="F75" s="59" t="str">
        <f>IF(C75="","",IF(E$10&gt;=DATE(2019,11,22),E$21,IFERROR(VLOOKUP(C75,Tasas!$B$10:$F$200,4,TRUE),0)))</f>
        <v/>
      </c>
      <c r="G75" s="60">
        <f t="shared" si="5"/>
        <v>0</v>
      </c>
      <c r="H75" s="59" t="str">
        <f>IF(C75="","",IF(N$11,0.045,IF(E$10&gt;=DATE(2019,11,22),E$22,IFERROR(VLOOKUP(C75,Tasas!$B$10:$F$200,N$8,TRUE)*N$9,0))))</f>
        <v/>
      </c>
      <c r="I75" s="60">
        <f t="shared" si="6"/>
        <v>0</v>
      </c>
      <c r="J75" s="58" t="str">
        <f t="shared" si="8"/>
        <v/>
      </c>
    </row>
    <row r="76" spans="2:10" x14ac:dyDescent="0.2">
      <c r="B76" s="56" t="str">
        <f t="shared" si="2"/>
        <v/>
      </c>
      <c r="C76" s="57" t="str">
        <f t="shared" si="7"/>
        <v/>
      </c>
      <c r="D76" s="57" t="str">
        <f t="shared" si="3"/>
        <v/>
      </c>
      <c r="E76" s="58">
        <f t="shared" si="4"/>
        <v>0</v>
      </c>
      <c r="F76" s="59" t="str">
        <f>IF(C76="","",IF(E$10&gt;=DATE(2019,11,22),E$21,IFERROR(VLOOKUP(C76,Tasas!$B$10:$F$200,4,TRUE),0)))</f>
        <v/>
      </c>
      <c r="G76" s="60">
        <f t="shared" si="5"/>
        <v>0</v>
      </c>
      <c r="H76" s="59" t="str">
        <f>IF(C76="","",IF(N$11,0.045,IF(E$10&gt;=DATE(2019,11,22),E$22,IFERROR(VLOOKUP(C76,Tasas!$B$10:$F$200,N$8,TRUE)*N$9,0))))</f>
        <v/>
      </c>
      <c r="I76" s="60">
        <f t="shared" si="6"/>
        <v>0</v>
      </c>
      <c r="J76" s="58" t="str">
        <f t="shared" si="8"/>
        <v/>
      </c>
    </row>
    <row r="77" spans="2:10" x14ac:dyDescent="0.2">
      <c r="B77" s="56" t="str">
        <f t="shared" si="2"/>
        <v/>
      </c>
      <c r="C77" s="57" t="str">
        <f t="shared" si="7"/>
        <v/>
      </c>
      <c r="D77" s="57" t="str">
        <f t="shared" si="3"/>
        <v/>
      </c>
      <c r="E77" s="58">
        <f t="shared" si="4"/>
        <v>0</v>
      </c>
      <c r="F77" s="59" t="str">
        <f>IF(C77="","",IF(E$10&gt;=DATE(2019,11,22),E$21,IFERROR(VLOOKUP(C77,Tasas!$B$10:$F$200,4,TRUE),0)))</f>
        <v/>
      </c>
      <c r="G77" s="60">
        <f t="shared" si="5"/>
        <v>0</v>
      </c>
      <c r="H77" s="59" t="str">
        <f>IF(C77="","",IF(N$11,0.045,IF(E$10&gt;=DATE(2019,11,22),E$22,IFERROR(VLOOKUP(C77,Tasas!$B$10:$F$200,N$8,TRUE)*N$9,0))))</f>
        <v/>
      </c>
      <c r="I77" s="60">
        <f t="shared" si="6"/>
        <v>0</v>
      </c>
      <c r="J77" s="58" t="str">
        <f t="shared" si="8"/>
        <v/>
      </c>
    </row>
    <row r="78" spans="2:10" x14ac:dyDescent="0.2">
      <c r="B78" s="56" t="str">
        <f t="shared" si="2"/>
        <v/>
      </c>
      <c r="C78" s="57" t="str">
        <f t="shared" si="7"/>
        <v/>
      </c>
      <c r="D78" s="57" t="str">
        <f t="shared" si="3"/>
        <v/>
      </c>
      <c r="E78" s="58">
        <f t="shared" si="4"/>
        <v>0</v>
      </c>
      <c r="F78" s="59" t="str">
        <f>IF(C78="","",IF(E$10&gt;=DATE(2019,11,22),E$21,IFERROR(VLOOKUP(C78,Tasas!$B$10:$F$200,4,TRUE),0)))</f>
        <v/>
      </c>
      <c r="G78" s="60">
        <f t="shared" si="5"/>
        <v>0</v>
      </c>
      <c r="H78" s="59" t="str">
        <f>IF(C78="","",IF(N$11,0.045,IF(E$10&gt;=DATE(2019,11,22),E$22,IFERROR(VLOOKUP(C78,Tasas!$B$10:$F$200,N$8,TRUE)*N$9,0))))</f>
        <v/>
      </c>
      <c r="I78" s="60">
        <f t="shared" si="6"/>
        <v>0</v>
      </c>
      <c r="J78" s="58" t="str">
        <f t="shared" si="8"/>
        <v/>
      </c>
    </row>
    <row r="79" spans="2:10" x14ac:dyDescent="0.2">
      <c r="B79" s="56" t="str">
        <f t="shared" si="2"/>
        <v/>
      </c>
      <c r="C79" s="57" t="str">
        <f t="shared" si="7"/>
        <v/>
      </c>
      <c r="D79" s="57" t="str">
        <f t="shared" si="3"/>
        <v/>
      </c>
      <c r="E79" s="58">
        <f t="shared" si="4"/>
        <v>0</v>
      </c>
      <c r="F79" s="59" t="str">
        <f>IF(C79="","",IF(E$10&gt;=DATE(2019,11,22),E$21,IFERROR(VLOOKUP(C79,Tasas!$B$10:$F$200,4,TRUE),0)))</f>
        <v/>
      </c>
      <c r="G79" s="60">
        <f t="shared" si="5"/>
        <v>0</v>
      </c>
      <c r="H79" s="59" t="str">
        <f>IF(C79="","",IF(N$11,0.045,IF(E$10&gt;=DATE(2019,11,22),E$22,IFERROR(VLOOKUP(C79,Tasas!$B$10:$F$200,N$8,TRUE)*N$9,0))))</f>
        <v/>
      </c>
      <c r="I79" s="60">
        <f t="shared" si="6"/>
        <v>0</v>
      </c>
      <c r="J79" s="58" t="str">
        <f t="shared" si="8"/>
        <v/>
      </c>
    </row>
    <row r="80" spans="2:10" x14ac:dyDescent="0.2">
      <c r="B80" s="56" t="str">
        <f t="shared" si="2"/>
        <v/>
      </c>
      <c r="C80" s="57" t="str">
        <f t="shared" si="7"/>
        <v/>
      </c>
      <c r="D80" s="57" t="str">
        <f t="shared" si="3"/>
        <v/>
      </c>
      <c r="E80" s="58">
        <f t="shared" si="4"/>
        <v>0</v>
      </c>
      <c r="F80" s="59" t="str">
        <f>IF(C80="","",IF(E$10&gt;=DATE(2019,11,22),E$21,IFERROR(VLOOKUP(C80,Tasas!$B$10:$F$200,4,TRUE),0)))</f>
        <v/>
      </c>
      <c r="G80" s="60">
        <f t="shared" si="5"/>
        <v>0</v>
      </c>
      <c r="H80" s="59" t="str">
        <f>IF(C80="","",IF(N$11,0.045,IF(E$10&gt;=DATE(2019,11,22),E$22,IFERROR(VLOOKUP(C80,Tasas!$B$10:$F$200,N$8,TRUE)*N$9,0))))</f>
        <v/>
      </c>
      <c r="I80" s="60">
        <f t="shared" si="6"/>
        <v>0</v>
      </c>
      <c r="J80" s="58" t="str">
        <f t="shared" si="8"/>
        <v/>
      </c>
    </row>
    <row r="81" spans="2:10" x14ac:dyDescent="0.2">
      <c r="B81" s="56" t="str">
        <f t="shared" si="2"/>
        <v/>
      </c>
      <c r="C81" s="57" t="str">
        <f t="shared" si="7"/>
        <v/>
      </c>
      <c r="D81" s="57" t="str">
        <f t="shared" si="3"/>
        <v/>
      </c>
      <c r="E81" s="58">
        <f t="shared" si="4"/>
        <v>0</v>
      </c>
      <c r="F81" s="59" t="str">
        <f>IF(C81="","",IF(E$10&gt;=DATE(2019,11,22),E$21,IFERROR(VLOOKUP(C81,Tasas!$B$10:$F$200,4,TRUE),0)))</f>
        <v/>
      </c>
      <c r="G81" s="60">
        <f t="shared" si="5"/>
        <v>0</v>
      </c>
      <c r="H81" s="59" t="str">
        <f>IF(C81="","",IF(N$11,0.045,IF(E$10&gt;=DATE(2019,11,22),E$22,IFERROR(VLOOKUP(C81,Tasas!$B$10:$F$200,N$8,TRUE)*N$9,0))))</f>
        <v/>
      </c>
      <c r="I81" s="60">
        <f t="shared" si="6"/>
        <v>0</v>
      </c>
      <c r="J81" s="58" t="str">
        <f t="shared" si="8"/>
        <v/>
      </c>
    </row>
    <row r="82" spans="2:10" x14ac:dyDescent="0.2">
      <c r="B82" s="56" t="str">
        <f t="shared" si="2"/>
        <v/>
      </c>
      <c r="C82" s="57" t="str">
        <f t="shared" si="7"/>
        <v/>
      </c>
      <c r="D82" s="57" t="str">
        <f t="shared" si="3"/>
        <v/>
      </c>
      <c r="E82" s="58">
        <f t="shared" si="4"/>
        <v>0</v>
      </c>
      <c r="F82" s="59" t="str">
        <f>IF(C82="","",IF(E$10&gt;=DATE(2019,11,22),E$21,IFERROR(VLOOKUP(C82,Tasas!$B$10:$F$200,4,TRUE),0)))</f>
        <v/>
      </c>
      <c r="G82" s="60">
        <f t="shared" si="5"/>
        <v>0</v>
      </c>
      <c r="H82" s="59" t="str">
        <f>IF(C82="","",IF(N$11,0.045,IF(E$10&gt;=DATE(2019,11,22),E$22,IFERROR(VLOOKUP(C82,Tasas!$B$10:$F$200,N$8,TRUE)*N$9,0))))</f>
        <v/>
      </c>
      <c r="I82" s="60">
        <f t="shared" si="6"/>
        <v>0</v>
      </c>
      <c r="J82" s="58" t="str">
        <f t="shared" si="8"/>
        <v/>
      </c>
    </row>
    <row r="83" spans="2:10" x14ac:dyDescent="0.2">
      <c r="B83" s="56" t="str">
        <f t="shared" si="2"/>
        <v/>
      </c>
      <c r="C83" s="57" t="str">
        <f t="shared" si="7"/>
        <v/>
      </c>
      <c r="D83" s="57" t="str">
        <f t="shared" si="3"/>
        <v/>
      </c>
      <c r="E83" s="58">
        <f t="shared" si="4"/>
        <v>0</v>
      </c>
      <c r="F83" s="59" t="str">
        <f>IF(C83="","",IF(E$10&gt;=DATE(2019,11,22),E$21,IFERROR(VLOOKUP(C83,Tasas!$B$10:$F$200,4,TRUE),0)))</f>
        <v/>
      </c>
      <c r="G83" s="60">
        <f t="shared" si="5"/>
        <v>0</v>
      </c>
      <c r="H83" s="59" t="str">
        <f>IF(C83="","",IF(N$11,0.045,IF(E$10&gt;=DATE(2019,11,22),E$22,IFERROR(VLOOKUP(C83,Tasas!$B$10:$F$200,N$8,TRUE)*N$9,0))))</f>
        <v/>
      </c>
      <c r="I83" s="60">
        <f t="shared" si="6"/>
        <v>0</v>
      </c>
      <c r="J83" s="58" t="str">
        <f t="shared" si="8"/>
        <v/>
      </c>
    </row>
    <row r="84" spans="2:10" x14ac:dyDescent="0.2">
      <c r="B84" s="56" t="str">
        <f t="shared" si="2"/>
        <v/>
      </c>
      <c r="C84" s="57" t="str">
        <f t="shared" si="7"/>
        <v/>
      </c>
      <c r="D84" s="57" t="str">
        <f t="shared" si="3"/>
        <v/>
      </c>
      <c r="E84" s="58">
        <f t="shared" si="4"/>
        <v>0</v>
      </c>
      <c r="F84" s="59" t="str">
        <f>IF(C84="","",IF(E$10&gt;=DATE(2019,11,22),E$21,IFERROR(VLOOKUP(C84,Tasas!$B$10:$F$200,4,TRUE),0)))</f>
        <v/>
      </c>
      <c r="G84" s="60">
        <f t="shared" si="5"/>
        <v>0</v>
      </c>
      <c r="H84" s="59" t="str">
        <f>IF(C84="","",IF(N$11,0.045,IF(E$10&gt;=DATE(2019,11,22),E$22,IFERROR(VLOOKUP(C84,Tasas!$B$10:$F$200,N$8,TRUE)*N$9,0))))</f>
        <v/>
      </c>
      <c r="I84" s="60">
        <f t="shared" si="6"/>
        <v>0</v>
      </c>
      <c r="J84" s="58" t="str">
        <f t="shared" si="8"/>
        <v/>
      </c>
    </row>
    <row r="85" spans="2:10" x14ac:dyDescent="0.2">
      <c r="B85" s="56" t="str">
        <f t="shared" si="2"/>
        <v/>
      </c>
      <c r="C85" s="57" t="str">
        <f t="shared" si="7"/>
        <v/>
      </c>
      <c r="D85" s="57" t="str">
        <f t="shared" si="3"/>
        <v/>
      </c>
      <c r="E85" s="58">
        <f t="shared" si="4"/>
        <v>0</v>
      </c>
      <c r="F85" s="59" t="str">
        <f>IF(C85="","",IF(E$10&gt;=DATE(2019,11,22),E$21,IFERROR(VLOOKUP(C85,Tasas!$B$10:$F$200,4,TRUE),0)))</f>
        <v/>
      </c>
      <c r="G85" s="60">
        <f t="shared" si="5"/>
        <v>0</v>
      </c>
      <c r="H85" s="59" t="str">
        <f>IF(C85="","",IF(N$11,0.045,IF(E$10&gt;=DATE(2019,11,22),E$22,IFERROR(VLOOKUP(C85,Tasas!$B$10:$F$200,N$8,TRUE)*N$9,0))))</f>
        <v/>
      </c>
      <c r="I85" s="60">
        <f t="shared" si="6"/>
        <v>0</v>
      </c>
      <c r="J85" s="58" t="str">
        <f t="shared" si="8"/>
        <v/>
      </c>
    </row>
    <row r="86" spans="2:10" x14ac:dyDescent="0.2">
      <c r="B86" s="56" t="str">
        <f t="shared" si="2"/>
        <v/>
      </c>
      <c r="C86" s="57" t="str">
        <f t="shared" si="7"/>
        <v/>
      </c>
      <c r="D86" s="57" t="str">
        <f t="shared" si="3"/>
        <v/>
      </c>
      <c r="E86" s="58">
        <f t="shared" si="4"/>
        <v>0</v>
      </c>
      <c r="F86" s="59" t="str">
        <f>IF(C86="","",IF(E$10&gt;=DATE(2019,11,22),E$21,IFERROR(VLOOKUP(C86,Tasas!$B$10:$F$200,4,TRUE),0)))</f>
        <v/>
      </c>
      <c r="G86" s="60">
        <f t="shared" si="5"/>
        <v>0</v>
      </c>
      <c r="H86" s="59" t="str">
        <f>IF(C86="","",IF(N$11,0.045,IF(E$10&gt;=DATE(2019,11,22),E$22,IFERROR(VLOOKUP(C86,Tasas!$B$10:$F$200,N$8,TRUE)*N$9,0))))</f>
        <v/>
      </c>
      <c r="I86" s="60">
        <f t="shared" si="6"/>
        <v>0</v>
      </c>
      <c r="J86" s="58" t="str">
        <f t="shared" si="8"/>
        <v/>
      </c>
    </row>
    <row r="87" spans="2:10" x14ac:dyDescent="0.2">
      <c r="B87" s="56" t="str">
        <f t="shared" si="2"/>
        <v/>
      </c>
      <c r="C87" s="57" t="str">
        <f t="shared" si="7"/>
        <v/>
      </c>
      <c r="D87" s="57" t="str">
        <f t="shared" si="3"/>
        <v/>
      </c>
      <c r="E87" s="58">
        <f t="shared" si="4"/>
        <v>0</v>
      </c>
      <c r="F87" s="59" t="str">
        <f>IF(C87="","",IF(E$10&gt;=DATE(2019,11,22),E$21,IFERROR(VLOOKUP(C87,Tasas!$B$10:$F$200,4,TRUE),0)))</f>
        <v/>
      </c>
      <c r="G87" s="60">
        <f t="shared" si="5"/>
        <v>0</v>
      </c>
      <c r="H87" s="59" t="str">
        <f>IF(C87="","",IF(N$11,0.045,IF(E$10&gt;=DATE(2019,11,22),E$22,IFERROR(VLOOKUP(C87,Tasas!$B$10:$F$200,N$8,TRUE)*N$9,0))))</f>
        <v/>
      </c>
      <c r="I87" s="60">
        <f t="shared" si="6"/>
        <v>0</v>
      </c>
      <c r="J87" s="58" t="str">
        <f t="shared" si="8"/>
        <v/>
      </c>
    </row>
    <row r="88" spans="2:10" x14ac:dyDescent="0.2">
      <c r="B88" s="56" t="str">
        <f t="shared" si="2"/>
        <v/>
      </c>
      <c r="C88" s="57" t="str">
        <f t="shared" si="7"/>
        <v/>
      </c>
      <c r="D88" s="57" t="str">
        <f t="shared" si="3"/>
        <v/>
      </c>
      <c r="E88" s="58">
        <f t="shared" si="4"/>
        <v>0</v>
      </c>
      <c r="F88" s="59" t="str">
        <f>IF(C88="","",IF(E$10&gt;=DATE(2019,11,22),E$21,IFERROR(VLOOKUP(C88,Tasas!$B$10:$F$200,4,TRUE),0)))</f>
        <v/>
      </c>
      <c r="G88" s="60">
        <f t="shared" si="5"/>
        <v>0</v>
      </c>
      <c r="H88" s="59" t="str">
        <f>IF(C88="","",IF(N$11,0.045,IF(E$10&gt;=DATE(2019,11,22),E$22,IFERROR(VLOOKUP(C88,Tasas!$B$10:$F$200,N$8,TRUE)*N$9,0))))</f>
        <v/>
      </c>
      <c r="I88" s="60">
        <f t="shared" si="6"/>
        <v>0</v>
      </c>
      <c r="J88" s="58" t="str">
        <f t="shared" si="8"/>
        <v/>
      </c>
    </row>
    <row r="89" spans="2:10" x14ac:dyDescent="0.2">
      <c r="B89" s="56" t="str">
        <f t="shared" si="2"/>
        <v/>
      </c>
      <c r="C89" s="57" t="str">
        <f t="shared" si="7"/>
        <v/>
      </c>
      <c r="D89" s="57" t="str">
        <f t="shared" si="3"/>
        <v/>
      </c>
      <c r="E89" s="58">
        <f t="shared" si="4"/>
        <v>0</v>
      </c>
      <c r="F89" s="59" t="str">
        <f>IF(C89="","",IF(E$10&gt;=DATE(2019,11,22),E$21,IFERROR(VLOOKUP(C89,Tasas!$B$10:$F$200,4,TRUE),0)))</f>
        <v/>
      </c>
      <c r="G89" s="60">
        <f t="shared" si="5"/>
        <v>0</v>
      </c>
      <c r="H89" s="59" t="str">
        <f>IF(C89="","",IF(N$11,0.045,IF(E$10&gt;=DATE(2019,11,22),E$22,IFERROR(VLOOKUP(C89,Tasas!$B$10:$F$200,N$8,TRUE)*N$9,0))))</f>
        <v/>
      </c>
      <c r="I89" s="60">
        <f t="shared" si="6"/>
        <v>0</v>
      </c>
      <c r="J89" s="58" t="str">
        <f t="shared" si="8"/>
        <v/>
      </c>
    </row>
    <row r="90" spans="2:10" x14ac:dyDescent="0.2">
      <c r="B90" s="56" t="str">
        <f t="shared" si="2"/>
        <v/>
      </c>
      <c r="C90" s="57" t="str">
        <f t="shared" si="7"/>
        <v/>
      </c>
      <c r="D90" s="57" t="str">
        <f t="shared" si="3"/>
        <v/>
      </c>
      <c r="E90" s="58">
        <f t="shared" si="4"/>
        <v>0</v>
      </c>
      <c r="F90" s="59" t="str">
        <f>IF(C90="","",IF(E$10&gt;=DATE(2019,11,22),E$21,IFERROR(VLOOKUP(C90,Tasas!$B$10:$F$200,4,TRUE),0)))</f>
        <v/>
      </c>
      <c r="G90" s="60">
        <f t="shared" si="5"/>
        <v>0</v>
      </c>
      <c r="H90" s="59" t="str">
        <f>IF(C90="","",IF(N$11,0.045,IF(E$10&gt;=DATE(2019,11,22),E$22,IFERROR(VLOOKUP(C90,Tasas!$B$10:$F$200,N$8,TRUE)*N$9,0))))</f>
        <v/>
      </c>
      <c r="I90" s="60">
        <f t="shared" si="6"/>
        <v>0</v>
      </c>
      <c r="J90" s="58" t="str">
        <f t="shared" si="8"/>
        <v/>
      </c>
    </row>
    <row r="91" spans="2:10" x14ac:dyDescent="0.2">
      <c r="B91" s="56" t="str">
        <f t="shared" si="2"/>
        <v/>
      </c>
      <c r="C91" s="57" t="str">
        <f t="shared" si="7"/>
        <v/>
      </c>
      <c r="D91" s="57" t="str">
        <f t="shared" si="3"/>
        <v/>
      </c>
      <c r="E91" s="58">
        <f t="shared" si="4"/>
        <v>0</v>
      </c>
      <c r="F91" s="59" t="str">
        <f>IF(C91="","",IF(E$10&gt;=DATE(2019,11,22),E$21,IFERROR(VLOOKUP(C91,Tasas!$B$10:$F$200,4,TRUE),0)))</f>
        <v/>
      </c>
      <c r="G91" s="60">
        <f t="shared" si="5"/>
        <v>0</v>
      </c>
      <c r="H91" s="59" t="str">
        <f>IF(C91="","",IF(N$11,0.045,IF(E$10&gt;=DATE(2019,11,22),E$22,IFERROR(VLOOKUP(C91,Tasas!$B$10:$F$200,N$8,TRUE)*N$9,0))))</f>
        <v/>
      </c>
      <c r="I91" s="60">
        <f t="shared" si="6"/>
        <v>0</v>
      </c>
      <c r="J91" s="58" t="str">
        <f t="shared" si="8"/>
        <v/>
      </c>
    </row>
    <row r="92" spans="2:10" x14ac:dyDescent="0.2">
      <c r="B92" s="56" t="str">
        <f t="shared" si="2"/>
        <v/>
      </c>
      <c r="C92" s="57" t="str">
        <f t="shared" si="7"/>
        <v/>
      </c>
      <c r="D92" s="57" t="str">
        <f t="shared" si="3"/>
        <v/>
      </c>
      <c r="E92" s="58">
        <f t="shared" si="4"/>
        <v>0</v>
      </c>
      <c r="F92" s="59" t="str">
        <f>IF(C92="","",IF(E$10&gt;=DATE(2019,11,22),E$21,IFERROR(VLOOKUP(C92,Tasas!$B$10:$F$200,4,TRUE),0)))</f>
        <v/>
      </c>
      <c r="G92" s="60">
        <f t="shared" si="5"/>
        <v>0</v>
      </c>
      <c r="H92" s="59" t="str">
        <f>IF(C92="","",IF(N$11,0.045,IF(E$10&gt;=DATE(2019,11,22),E$22,IFERROR(VLOOKUP(C92,Tasas!$B$10:$F$200,N$8,TRUE)*N$9,0))))</f>
        <v/>
      </c>
      <c r="I92" s="60">
        <f t="shared" si="6"/>
        <v>0</v>
      </c>
      <c r="J92" s="58" t="str">
        <f t="shared" si="8"/>
        <v/>
      </c>
    </row>
    <row r="93" spans="2:10" x14ac:dyDescent="0.2">
      <c r="B93" s="56" t="str">
        <f t="shared" si="2"/>
        <v/>
      </c>
      <c r="C93" s="57" t="str">
        <f t="shared" si="7"/>
        <v/>
      </c>
      <c r="D93" s="57" t="str">
        <f t="shared" si="3"/>
        <v/>
      </c>
      <c r="E93" s="58">
        <f t="shared" si="4"/>
        <v>0</v>
      </c>
      <c r="F93" s="59" t="str">
        <f>IF(C93="","",IF(E$10&gt;=DATE(2019,11,22),E$21,IFERROR(VLOOKUP(C93,Tasas!$B$10:$F$200,4,TRUE),0)))</f>
        <v/>
      </c>
      <c r="G93" s="60">
        <f t="shared" si="5"/>
        <v>0</v>
      </c>
      <c r="H93" s="59" t="str">
        <f>IF(C93="","",IF(N$11,0.045,IF(E$10&gt;=DATE(2019,11,22),E$22,IFERROR(VLOOKUP(C93,Tasas!$B$10:$F$200,N$8,TRUE)*N$9,0))))</f>
        <v/>
      </c>
      <c r="I93" s="60">
        <f t="shared" si="6"/>
        <v>0</v>
      </c>
      <c r="J93" s="58" t="str">
        <f t="shared" si="8"/>
        <v/>
      </c>
    </row>
    <row r="94" spans="2:10" x14ac:dyDescent="0.2">
      <c r="B94" s="56" t="str">
        <f t="shared" ref="B94:B125" si="9">IF(C94="","",PROPER(TEXT(C94,"MMMM YYYY")))</f>
        <v/>
      </c>
      <c r="C94" s="57" t="str">
        <f t="shared" si="7"/>
        <v/>
      </c>
      <c r="D94" s="57" t="str">
        <f t="shared" ref="D94:D125" si="10">IF(C94="","",MIN(E$10,EOMONTH(C94,0)))</f>
        <v/>
      </c>
      <c r="E94" s="58">
        <f t="shared" ref="E94:E125" si="11">IF(C94="",0,D94-C94+1)</f>
        <v>0</v>
      </c>
      <c r="F94" s="59" t="str">
        <f>IF(C94="","",IF(E$10&gt;=DATE(2019,11,22),E$21,IFERROR(VLOOKUP(C94,Tasas!$B$10:$F$200,4,TRUE),0)))</f>
        <v/>
      </c>
      <c r="G94" s="60">
        <f t="shared" ref="G94:G125" si="12">IF(C94="",0,ROUND(E$8*F94/365*E94,2))</f>
        <v>0</v>
      </c>
      <c r="H94" s="59" t="str">
        <f>IF(C94="","",IF(N$11,0.045,IF(E$10&gt;=DATE(2019,11,22),E$22,IFERROR(VLOOKUP(C94,Tasas!$B$10:$F$200,N$8,TRUE)*N$9,0))))</f>
        <v/>
      </c>
      <c r="I94" s="60">
        <f t="shared" ref="I94:I125" si="13">IF(C94="",0,ROUND(E$8*H94/365*E94,2))</f>
        <v>0</v>
      </c>
      <c r="J94" s="58" t="str">
        <f t="shared" si="8"/>
        <v/>
      </c>
    </row>
    <row r="95" spans="2:10" x14ac:dyDescent="0.2">
      <c r="B95" s="56" t="str">
        <f t="shared" si="9"/>
        <v/>
      </c>
      <c r="C95" s="57" t="str">
        <f t="shared" ref="C95:C126" si="14">IF(OR(C94="",D94="",D94&gt;=E$10),"",D94+1)</f>
        <v/>
      </c>
      <c r="D95" s="57" t="str">
        <f t="shared" si="10"/>
        <v/>
      </c>
      <c r="E95" s="58">
        <f t="shared" si="11"/>
        <v>0</v>
      </c>
      <c r="F95" s="59" t="str">
        <f>IF(C95="","",IF(E$10&gt;=DATE(2019,11,22),E$21,IFERROR(VLOOKUP(C95,Tasas!$B$10:$F$200,4,TRUE),0)))</f>
        <v/>
      </c>
      <c r="G95" s="60">
        <f t="shared" si="12"/>
        <v>0</v>
      </c>
      <c r="H95" s="59" t="str">
        <f>IF(C95="","",IF(N$11,0.045,IF(E$10&gt;=DATE(2019,11,22),E$22,IFERROR(VLOOKUP(C95,Tasas!$B$10:$F$200,N$8,TRUE)*N$9,0))))</f>
        <v/>
      </c>
      <c r="I95" s="60">
        <f t="shared" si="13"/>
        <v>0</v>
      </c>
      <c r="J95" s="58" t="str">
        <f t="shared" ref="J95:J126" si="15">IF(C95="","",IF(ISNUMBER(J94),J94+G95,G95))</f>
        <v/>
      </c>
    </row>
    <row r="96" spans="2:10" x14ac:dyDescent="0.2">
      <c r="B96" s="56" t="str">
        <f t="shared" si="9"/>
        <v/>
      </c>
      <c r="C96" s="57" t="str">
        <f t="shared" si="14"/>
        <v/>
      </c>
      <c r="D96" s="57" t="str">
        <f t="shared" si="10"/>
        <v/>
      </c>
      <c r="E96" s="58">
        <f t="shared" si="11"/>
        <v>0</v>
      </c>
      <c r="F96" s="59" t="str">
        <f>IF(C96="","",IF(E$10&gt;=DATE(2019,11,22),E$21,IFERROR(VLOOKUP(C96,Tasas!$B$10:$F$200,4,TRUE),0)))</f>
        <v/>
      </c>
      <c r="G96" s="60">
        <f t="shared" si="12"/>
        <v>0</v>
      </c>
      <c r="H96" s="59" t="str">
        <f>IF(C96="","",IF(N$11,0.045,IF(E$10&gt;=DATE(2019,11,22),E$22,IFERROR(VLOOKUP(C96,Tasas!$B$10:$F$200,N$8,TRUE)*N$9,0))))</f>
        <v/>
      </c>
      <c r="I96" s="60">
        <f t="shared" si="13"/>
        <v>0</v>
      </c>
      <c r="J96" s="58" t="str">
        <f t="shared" si="15"/>
        <v/>
      </c>
    </row>
    <row r="97" spans="2:10" x14ac:dyDescent="0.2">
      <c r="B97" s="56" t="str">
        <f t="shared" si="9"/>
        <v/>
      </c>
      <c r="C97" s="57" t="str">
        <f t="shared" si="14"/>
        <v/>
      </c>
      <c r="D97" s="57" t="str">
        <f t="shared" si="10"/>
        <v/>
      </c>
      <c r="E97" s="58">
        <f t="shared" si="11"/>
        <v>0</v>
      </c>
      <c r="F97" s="59" t="str">
        <f>IF(C97="","",IF(E$10&gt;=DATE(2019,11,22),E$21,IFERROR(VLOOKUP(C97,Tasas!$B$10:$F$200,4,TRUE),0)))</f>
        <v/>
      </c>
      <c r="G97" s="60">
        <f t="shared" si="12"/>
        <v>0</v>
      </c>
      <c r="H97" s="59" t="str">
        <f>IF(C97="","",IF(N$11,0.045,IF(E$10&gt;=DATE(2019,11,22),E$22,IFERROR(VLOOKUP(C97,Tasas!$B$10:$F$200,N$8,TRUE)*N$9,0))))</f>
        <v/>
      </c>
      <c r="I97" s="60">
        <f t="shared" si="13"/>
        <v>0</v>
      </c>
      <c r="J97" s="58" t="str">
        <f t="shared" si="15"/>
        <v/>
      </c>
    </row>
    <row r="98" spans="2:10" x14ac:dyDescent="0.2">
      <c r="B98" s="56" t="str">
        <f t="shared" si="9"/>
        <v/>
      </c>
      <c r="C98" s="57" t="str">
        <f t="shared" si="14"/>
        <v/>
      </c>
      <c r="D98" s="57" t="str">
        <f t="shared" si="10"/>
        <v/>
      </c>
      <c r="E98" s="58">
        <f t="shared" si="11"/>
        <v>0</v>
      </c>
      <c r="F98" s="59" t="str">
        <f>IF(C98="","",IF(E$10&gt;=DATE(2019,11,22),E$21,IFERROR(VLOOKUP(C98,Tasas!$B$10:$F$200,4,TRUE),0)))</f>
        <v/>
      </c>
      <c r="G98" s="60">
        <f t="shared" si="12"/>
        <v>0</v>
      </c>
      <c r="H98" s="59" t="str">
        <f>IF(C98="","",IF(N$11,0.045,IF(E$10&gt;=DATE(2019,11,22),E$22,IFERROR(VLOOKUP(C98,Tasas!$B$10:$F$200,N$8,TRUE)*N$9,0))))</f>
        <v/>
      </c>
      <c r="I98" s="60">
        <f t="shared" si="13"/>
        <v>0</v>
      </c>
      <c r="J98" s="58" t="str">
        <f t="shared" si="15"/>
        <v/>
      </c>
    </row>
    <row r="99" spans="2:10" x14ac:dyDescent="0.2">
      <c r="B99" s="56" t="str">
        <f t="shared" si="9"/>
        <v/>
      </c>
      <c r="C99" s="57" t="str">
        <f t="shared" si="14"/>
        <v/>
      </c>
      <c r="D99" s="57" t="str">
        <f t="shared" si="10"/>
        <v/>
      </c>
      <c r="E99" s="58">
        <f t="shared" si="11"/>
        <v>0</v>
      </c>
      <c r="F99" s="59" t="str">
        <f>IF(C99="","",IF(E$10&gt;=DATE(2019,11,22),E$21,IFERROR(VLOOKUP(C99,Tasas!$B$10:$F$200,4,TRUE),0)))</f>
        <v/>
      </c>
      <c r="G99" s="60">
        <f t="shared" si="12"/>
        <v>0</v>
      </c>
      <c r="H99" s="59" t="str">
        <f>IF(C99="","",IF(N$11,0.045,IF(E$10&gt;=DATE(2019,11,22),E$22,IFERROR(VLOOKUP(C99,Tasas!$B$10:$F$200,N$8,TRUE)*N$9,0))))</f>
        <v/>
      </c>
      <c r="I99" s="60">
        <f t="shared" si="13"/>
        <v>0</v>
      </c>
      <c r="J99" s="58" t="str">
        <f t="shared" si="15"/>
        <v/>
      </c>
    </row>
    <row r="100" spans="2:10" x14ac:dyDescent="0.2">
      <c r="B100" s="56" t="str">
        <f t="shared" si="9"/>
        <v/>
      </c>
      <c r="C100" s="57" t="str">
        <f t="shared" si="14"/>
        <v/>
      </c>
      <c r="D100" s="57" t="str">
        <f t="shared" si="10"/>
        <v/>
      </c>
      <c r="E100" s="58">
        <f t="shared" si="11"/>
        <v>0</v>
      </c>
      <c r="F100" s="59" t="str">
        <f>IF(C100="","",IF(E$10&gt;=DATE(2019,11,22),E$21,IFERROR(VLOOKUP(C100,Tasas!$B$10:$F$200,4,TRUE),0)))</f>
        <v/>
      </c>
      <c r="G100" s="60">
        <f t="shared" si="12"/>
        <v>0</v>
      </c>
      <c r="H100" s="59" t="str">
        <f>IF(C100="","",IF(N$11,0.045,IF(E$10&gt;=DATE(2019,11,22),E$22,IFERROR(VLOOKUP(C100,Tasas!$B$10:$F$200,N$8,TRUE)*N$9,0))))</f>
        <v/>
      </c>
      <c r="I100" s="60">
        <f t="shared" si="13"/>
        <v>0</v>
      </c>
      <c r="J100" s="58" t="str">
        <f t="shared" si="15"/>
        <v/>
      </c>
    </row>
    <row r="101" spans="2:10" x14ac:dyDescent="0.2">
      <c r="B101" s="56" t="str">
        <f t="shared" si="9"/>
        <v/>
      </c>
      <c r="C101" s="57" t="str">
        <f t="shared" si="14"/>
        <v/>
      </c>
      <c r="D101" s="57" t="str">
        <f t="shared" si="10"/>
        <v/>
      </c>
      <c r="E101" s="58">
        <f t="shared" si="11"/>
        <v>0</v>
      </c>
      <c r="F101" s="59" t="str">
        <f>IF(C101="","",IF(E$10&gt;=DATE(2019,11,22),E$21,IFERROR(VLOOKUP(C101,Tasas!$B$10:$F$200,4,TRUE),0)))</f>
        <v/>
      </c>
      <c r="G101" s="60">
        <f t="shared" si="12"/>
        <v>0</v>
      </c>
      <c r="H101" s="59" t="str">
        <f>IF(C101="","",IF(N$11,0.045,IF(E$10&gt;=DATE(2019,11,22),E$22,IFERROR(VLOOKUP(C101,Tasas!$B$10:$F$200,N$8,TRUE)*N$9,0))))</f>
        <v/>
      </c>
      <c r="I101" s="60">
        <f t="shared" si="13"/>
        <v>0</v>
      </c>
      <c r="J101" s="58" t="str">
        <f t="shared" si="15"/>
        <v/>
      </c>
    </row>
    <row r="102" spans="2:10" x14ac:dyDescent="0.2">
      <c r="B102" s="56" t="str">
        <f t="shared" si="9"/>
        <v/>
      </c>
      <c r="C102" s="57" t="str">
        <f t="shared" si="14"/>
        <v/>
      </c>
      <c r="D102" s="57" t="str">
        <f t="shared" si="10"/>
        <v/>
      </c>
      <c r="E102" s="58">
        <f t="shared" si="11"/>
        <v>0</v>
      </c>
      <c r="F102" s="59" t="str">
        <f>IF(C102="","",IF(E$10&gt;=DATE(2019,11,22),E$21,IFERROR(VLOOKUP(C102,Tasas!$B$10:$F$200,4,TRUE),0)))</f>
        <v/>
      </c>
      <c r="G102" s="60">
        <f t="shared" si="12"/>
        <v>0</v>
      </c>
      <c r="H102" s="59" t="str">
        <f>IF(C102="","",IF(N$11,0.045,IF(E$10&gt;=DATE(2019,11,22),E$22,IFERROR(VLOOKUP(C102,Tasas!$B$10:$F$200,N$8,TRUE)*N$9,0))))</f>
        <v/>
      </c>
      <c r="I102" s="60">
        <f t="shared" si="13"/>
        <v>0</v>
      </c>
      <c r="J102" s="58" t="str">
        <f t="shared" si="15"/>
        <v/>
      </c>
    </row>
    <row r="103" spans="2:10" x14ac:dyDescent="0.2">
      <c r="B103" s="56" t="str">
        <f t="shared" si="9"/>
        <v/>
      </c>
      <c r="C103" s="57" t="str">
        <f t="shared" si="14"/>
        <v/>
      </c>
      <c r="D103" s="57" t="str">
        <f t="shared" si="10"/>
        <v/>
      </c>
      <c r="E103" s="58">
        <f t="shared" si="11"/>
        <v>0</v>
      </c>
      <c r="F103" s="59" t="str">
        <f>IF(C103="","",IF(E$10&gt;=DATE(2019,11,22),E$21,IFERROR(VLOOKUP(C103,Tasas!$B$10:$F$200,4,TRUE),0)))</f>
        <v/>
      </c>
      <c r="G103" s="60">
        <f t="shared" si="12"/>
        <v>0</v>
      </c>
      <c r="H103" s="59" t="str">
        <f>IF(C103="","",IF(N$11,0.045,IF(E$10&gt;=DATE(2019,11,22),E$22,IFERROR(VLOOKUP(C103,Tasas!$B$10:$F$200,N$8,TRUE)*N$9,0))))</f>
        <v/>
      </c>
      <c r="I103" s="60">
        <f t="shared" si="13"/>
        <v>0</v>
      </c>
      <c r="J103" s="58" t="str">
        <f t="shared" si="15"/>
        <v/>
      </c>
    </row>
    <row r="104" spans="2:10" x14ac:dyDescent="0.2">
      <c r="B104" s="56" t="str">
        <f t="shared" si="9"/>
        <v/>
      </c>
      <c r="C104" s="57" t="str">
        <f t="shared" si="14"/>
        <v/>
      </c>
      <c r="D104" s="57" t="str">
        <f t="shared" si="10"/>
        <v/>
      </c>
      <c r="E104" s="58">
        <f t="shared" si="11"/>
        <v>0</v>
      </c>
      <c r="F104" s="59" t="str">
        <f>IF(C104="","",IF(E$10&gt;=DATE(2019,11,22),E$21,IFERROR(VLOOKUP(C104,Tasas!$B$10:$F$200,4,TRUE),0)))</f>
        <v/>
      </c>
      <c r="G104" s="60">
        <f t="shared" si="12"/>
        <v>0</v>
      </c>
      <c r="H104" s="59" t="str">
        <f>IF(C104="","",IF(N$11,0.045,IF(E$10&gt;=DATE(2019,11,22),E$22,IFERROR(VLOOKUP(C104,Tasas!$B$10:$F$200,N$8,TRUE)*N$9,0))))</f>
        <v/>
      </c>
      <c r="I104" s="60">
        <f t="shared" si="13"/>
        <v>0</v>
      </c>
      <c r="J104" s="58" t="str">
        <f t="shared" si="15"/>
        <v/>
      </c>
    </row>
    <row r="105" spans="2:10" x14ac:dyDescent="0.2">
      <c r="B105" s="56" t="str">
        <f t="shared" si="9"/>
        <v/>
      </c>
      <c r="C105" s="57" t="str">
        <f t="shared" si="14"/>
        <v/>
      </c>
      <c r="D105" s="57" t="str">
        <f t="shared" si="10"/>
        <v/>
      </c>
      <c r="E105" s="58">
        <f t="shared" si="11"/>
        <v>0</v>
      </c>
      <c r="F105" s="59" t="str">
        <f>IF(C105="","",IF(E$10&gt;=DATE(2019,11,22),E$21,IFERROR(VLOOKUP(C105,Tasas!$B$10:$F$200,4,TRUE),0)))</f>
        <v/>
      </c>
      <c r="G105" s="60">
        <f t="shared" si="12"/>
        <v>0</v>
      </c>
      <c r="H105" s="59" t="str">
        <f>IF(C105="","",IF(N$11,0.045,IF(E$10&gt;=DATE(2019,11,22),E$22,IFERROR(VLOOKUP(C105,Tasas!$B$10:$F$200,N$8,TRUE)*N$9,0))))</f>
        <v/>
      </c>
      <c r="I105" s="60">
        <f t="shared" si="13"/>
        <v>0</v>
      </c>
      <c r="J105" s="58" t="str">
        <f t="shared" si="15"/>
        <v/>
      </c>
    </row>
    <row r="106" spans="2:10" x14ac:dyDescent="0.2">
      <c r="B106" s="56" t="str">
        <f t="shared" si="9"/>
        <v/>
      </c>
      <c r="C106" s="57" t="str">
        <f t="shared" si="14"/>
        <v/>
      </c>
      <c r="D106" s="57" t="str">
        <f t="shared" si="10"/>
        <v/>
      </c>
      <c r="E106" s="58">
        <f t="shared" si="11"/>
        <v>0</v>
      </c>
      <c r="F106" s="59" t="str">
        <f>IF(C106="","",IF(E$10&gt;=DATE(2019,11,22),E$21,IFERROR(VLOOKUP(C106,Tasas!$B$10:$F$200,4,TRUE),0)))</f>
        <v/>
      </c>
      <c r="G106" s="60">
        <f t="shared" si="12"/>
        <v>0</v>
      </c>
      <c r="H106" s="59" t="str">
        <f>IF(C106="","",IF(N$11,0.045,IF(E$10&gt;=DATE(2019,11,22),E$22,IFERROR(VLOOKUP(C106,Tasas!$B$10:$F$200,N$8,TRUE)*N$9,0))))</f>
        <v/>
      </c>
      <c r="I106" s="60">
        <f t="shared" si="13"/>
        <v>0</v>
      </c>
      <c r="J106" s="58" t="str">
        <f t="shared" si="15"/>
        <v/>
      </c>
    </row>
    <row r="107" spans="2:10" x14ac:dyDescent="0.2">
      <c r="B107" s="56" t="str">
        <f t="shared" si="9"/>
        <v/>
      </c>
      <c r="C107" s="57" t="str">
        <f t="shared" si="14"/>
        <v/>
      </c>
      <c r="D107" s="57" t="str">
        <f t="shared" si="10"/>
        <v/>
      </c>
      <c r="E107" s="58">
        <f t="shared" si="11"/>
        <v>0</v>
      </c>
      <c r="F107" s="59" t="str">
        <f>IF(C107="","",IF(E$10&gt;=DATE(2019,11,22),E$21,IFERROR(VLOOKUP(C107,Tasas!$B$10:$F$200,4,TRUE),0)))</f>
        <v/>
      </c>
      <c r="G107" s="60">
        <f t="shared" si="12"/>
        <v>0</v>
      </c>
      <c r="H107" s="59" t="str">
        <f>IF(C107="","",IF(N$11,0.045,IF(E$10&gt;=DATE(2019,11,22),E$22,IFERROR(VLOOKUP(C107,Tasas!$B$10:$F$200,N$8,TRUE)*N$9,0))))</f>
        <v/>
      </c>
      <c r="I107" s="60">
        <f t="shared" si="13"/>
        <v>0</v>
      </c>
      <c r="J107" s="58" t="str">
        <f t="shared" si="15"/>
        <v/>
      </c>
    </row>
    <row r="108" spans="2:10" x14ac:dyDescent="0.2">
      <c r="B108" s="56" t="str">
        <f t="shared" si="9"/>
        <v/>
      </c>
      <c r="C108" s="57" t="str">
        <f t="shared" si="14"/>
        <v/>
      </c>
      <c r="D108" s="57" t="str">
        <f t="shared" si="10"/>
        <v/>
      </c>
      <c r="E108" s="58">
        <f t="shared" si="11"/>
        <v>0</v>
      </c>
      <c r="F108" s="59" t="str">
        <f>IF(C108="","",IF(E$10&gt;=DATE(2019,11,22),E$21,IFERROR(VLOOKUP(C108,Tasas!$B$10:$F$200,4,TRUE),0)))</f>
        <v/>
      </c>
      <c r="G108" s="60">
        <f t="shared" si="12"/>
        <v>0</v>
      </c>
      <c r="H108" s="59" t="str">
        <f>IF(C108="","",IF(N$11,0.045,IF(E$10&gt;=DATE(2019,11,22),E$22,IFERROR(VLOOKUP(C108,Tasas!$B$10:$F$200,N$8,TRUE)*N$9,0))))</f>
        <v/>
      </c>
      <c r="I108" s="60">
        <f t="shared" si="13"/>
        <v>0</v>
      </c>
      <c r="J108" s="58" t="str">
        <f t="shared" si="15"/>
        <v/>
      </c>
    </row>
    <row r="109" spans="2:10" x14ac:dyDescent="0.2">
      <c r="B109" s="56" t="str">
        <f t="shared" si="9"/>
        <v/>
      </c>
      <c r="C109" s="57" t="str">
        <f t="shared" si="14"/>
        <v/>
      </c>
      <c r="D109" s="57" t="str">
        <f t="shared" si="10"/>
        <v/>
      </c>
      <c r="E109" s="58">
        <f t="shared" si="11"/>
        <v>0</v>
      </c>
      <c r="F109" s="59" t="str">
        <f>IF(C109="","",IF(E$10&gt;=DATE(2019,11,22),E$21,IFERROR(VLOOKUP(C109,Tasas!$B$10:$F$200,4,TRUE),0)))</f>
        <v/>
      </c>
      <c r="G109" s="60">
        <f t="shared" si="12"/>
        <v>0</v>
      </c>
      <c r="H109" s="59" t="str">
        <f>IF(C109="","",IF(N$11,0.045,IF(E$10&gt;=DATE(2019,11,22),E$22,IFERROR(VLOOKUP(C109,Tasas!$B$10:$F$200,N$8,TRUE)*N$9,0))))</f>
        <v/>
      </c>
      <c r="I109" s="60">
        <f t="shared" si="13"/>
        <v>0</v>
      </c>
      <c r="J109" s="58" t="str">
        <f t="shared" si="15"/>
        <v/>
      </c>
    </row>
    <row r="110" spans="2:10" x14ac:dyDescent="0.2">
      <c r="B110" s="56" t="str">
        <f t="shared" si="9"/>
        <v/>
      </c>
      <c r="C110" s="57" t="str">
        <f t="shared" si="14"/>
        <v/>
      </c>
      <c r="D110" s="57" t="str">
        <f t="shared" si="10"/>
        <v/>
      </c>
      <c r="E110" s="58">
        <f t="shared" si="11"/>
        <v>0</v>
      </c>
      <c r="F110" s="59" t="str">
        <f>IF(C110="","",IF(E$10&gt;=DATE(2019,11,22),E$21,IFERROR(VLOOKUP(C110,Tasas!$B$10:$F$200,4,TRUE),0)))</f>
        <v/>
      </c>
      <c r="G110" s="60">
        <f t="shared" si="12"/>
        <v>0</v>
      </c>
      <c r="H110" s="59" t="str">
        <f>IF(C110="","",IF(N$11,0.045,IF(E$10&gt;=DATE(2019,11,22),E$22,IFERROR(VLOOKUP(C110,Tasas!$B$10:$F$200,N$8,TRUE)*N$9,0))))</f>
        <v/>
      </c>
      <c r="I110" s="60">
        <f t="shared" si="13"/>
        <v>0</v>
      </c>
      <c r="J110" s="58" t="str">
        <f t="shared" si="15"/>
        <v/>
      </c>
    </row>
    <row r="111" spans="2:10" x14ac:dyDescent="0.2">
      <c r="B111" s="56" t="str">
        <f t="shared" si="9"/>
        <v/>
      </c>
      <c r="C111" s="57" t="str">
        <f t="shared" si="14"/>
        <v/>
      </c>
      <c r="D111" s="57" t="str">
        <f t="shared" si="10"/>
        <v/>
      </c>
      <c r="E111" s="58">
        <f t="shared" si="11"/>
        <v>0</v>
      </c>
      <c r="F111" s="59" t="str">
        <f>IF(C111="","",IF(E$10&gt;=DATE(2019,11,22),E$21,IFERROR(VLOOKUP(C111,Tasas!$B$10:$F$200,4,TRUE),0)))</f>
        <v/>
      </c>
      <c r="G111" s="60">
        <f t="shared" si="12"/>
        <v>0</v>
      </c>
      <c r="H111" s="59" t="str">
        <f>IF(C111="","",IF(N$11,0.045,IF(E$10&gt;=DATE(2019,11,22),E$22,IFERROR(VLOOKUP(C111,Tasas!$B$10:$F$200,N$8,TRUE)*N$9,0))))</f>
        <v/>
      </c>
      <c r="I111" s="60">
        <f t="shared" si="13"/>
        <v>0</v>
      </c>
      <c r="J111" s="58" t="str">
        <f t="shared" si="15"/>
        <v/>
      </c>
    </row>
    <row r="112" spans="2:10" x14ac:dyDescent="0.2">
      <c r="B112" s="56" t="str">
        <f t="shared" si="9"/>
        <v/>
      </c>
      <c r="C112" s="57" t="str">
        <f t="shared" si="14"/>
        <v/>
      </c>
      <c r="D112" s="57" t="str">
        <f t="shared" si="10"/>
        <v/>
      </c>
      <c r="E112" s="58">
        <f t="shared" si="11"/>
        <v>0</v>
      </c>
      <c r="F112" s="59" t="str">
        <f>IF(C112="","",IF(E$10&gt;=DATE(2019,11,22),E$21,IFERROR(VLOOKUP(C112,Tasas!$B$10:$F$200,4,TRUE),0)))</f>
        <v/>
      </c>
      <c r="G112" s="60">
        <f t="shared" si="12"/>
        <v>0</v>
      </c>
      <c r="H112" s="59" t="str">
        <f>IF(C112="","",IF(N$11,0.045,IF(E$10&gt;=DATE(2019,11,22),E$22,IFERROR(VLOOKUP(C112,Tasas!$B$10:$F$200,N$8,TRUE)*N$9,0))))</f>
        <v/>
      </c>
      <c r="I112" s="60">
        <f t="shared" si="13"/>
        <v>0</v>
      </c>
      <c r="J112" s="58" t="str">
        <f t="shared" si="15"/>
        <v/>
      </c>
    </row>
    <row r="113" spans="2:10" x14ac:dyDescent="0.2">
      <c r="B113" s="56" t="str">
        <f t="shared" si="9"/>
        <v/>
      </c>
      <c r="C113" s="57" t="str">
        <f t="shared" si="14"/>
        <v/>
      </c>
      <c r="D113" s="57" t="str">
        <f t="shared" si="10"/>
        <v/>
      </c>
      <c r="E113" s="58">
        <f t="shared" si="11"/>
        <v>0</v>
      </c>
      <c r="F113" s="59" t="str">
        <f>IF(C113="","",IF(E$10&gt;=DATE(2019,11,22),E$21,IFERROR(VLOOKUP(C113,Tasas!$B$10:$F$200,4,TRUE),0)))</f>
        <v/>
      </c>
      <c r="G113" s="60">
        <f t="shared" si="12"/>
        <v>0</v>
      </c>
      <c r="H113" s="59" t="str">
        <f>IF(C113="","",IF(N$11,0.045,IF(E$10&gt;=DATE(2019,11,22),E$22,IFERROR(VLOOKUP(C113,Tasas!$B$10:$F$200,N$8,TRUE)*N$9,0))))</f>
        <v/>
      </c>
      <c r="I113" s="60">
        <f t="shared" si="13"/>
        <v>0</v>
      </c>
      <c r="J113" s="58" t="str">
        <f t="shared" si="15"/>
        <v/>
      </c>
    </row>
    <row r="114" spans="2:10" x14ac:dyDescent="0.2">
      <c r="B114" s="56" t="str">
        <f t="shared" si="9"/>
        <v/>
      </c>
      <c r="C114" s="57" t="str">
        <f t="shared" si="14"/>
        <v/>
      </c>
      <c r="D114" s="57" t="str">
        <f t="shared" si="10"/>
        <v/>
      </c>
      <c r="E114" s="58">
        <f t="shared" si="11"/>
        <v>0</v>
      </c>
      <c r="F114" s="59" t="str">
        <f>IF(C114="","",IF(E$10&gt;=DATE(2019,11,22),E$21,IFERROR(VLOOKUP(C114,Tasas!$B$10:$F$200,4,TRUE),0)))</f>
        <v/>
      </c>
      <c r="G114" s="60">
        <f t="shared" si="12"/>
        <v>0</v>
      </c>
      <c r="H114" s="59" t="str">
        <f>IF(C114="","",IF(N$11,0.045,IF(E$10&gt;=DATE(2019,11,22),E$22,IFERROR(VLOOKUP(C114,Tasas!$B$10:$F$200,N$8,TRUE)*N$9,0))))</f>
        <v/>
      </c>
      <c r="I114" s="60">
        <f t="shared" si="13"/>
        <v>0</v>
      </c>
      <c r="J114" s="58" t="str">
        <f t="shared" si="15"/>
        <v/>
      </c>
    </row>
    <row r="115" spans="2:10" x14ac:dyDescent="0.2">
      <c r="B115" s="56" t="str">
        <f t="shared" si="9"/>
        <v/>
      </c>
      <c r="C115" s="57" t="str">
        <f t="shared" si="14"/>
        <v/>
      </c>
      <c r="D115" s="57" t="str">
        <f t="shared" si="10"/>
        <v/>
      </c>
      <c r="E115" s="58">
        <f t="shared" si="11"/>
        <v>0</v>
      </c>
      <c r="F115" s="59" t="str">
        <f>IF(C115="","",IF(E$10&gt;=DATE(2019,11,22),E$21,IFERROR(VLOOKUP(C115,Tasas!$B$10:$F$200,4,TRUE),0)))</f>
        <v/>
      </c>
      <c r="G115" s="60">
        <f t="shared" si="12"/>
        <v>0</v>
      </c>
      <c r="H115" s="59" t="str">
        <f>IF(C115="","",IF(N$11,0.045,IF(E$10&gt;=DATE(2019,11,22),E$22,IFERROR(VLOOKUP(C115,Tasas!$B$10:$F$200,N$8,TRUE)*N$9,0))))</f>
        <v/>
      </c>
      <c r="I115" s="60">
        <f t="shared" si="13"/>
        <v>0</v>
      </c>
      <c r="J115" s="58" t="str">
        <f t="shared" si="15"/>
        <v/>
      </c>
    </row>
    <row r="116" spans="2:10" x14ac:dyDescent="0.2">
      <c r="B116" s="56" t="str">
        <f t="shared" si="9"/>
        <v/>
      </c>
      <c r="C116" s="57" t="str">
        <f t="shared" si="14"/>
        <v/>
      </c>
      <c r="D116" s="57" t="str">
        <f t="shared" si="10"/>
        <v/>
      </c>
      <c r="E116" s="58">
        <f t="shared" si="11"/>
        <v>0</v>
      </c>
      <c r="F116" s="59" t="str">
        <f>IF(C116="","",IF(E$10&gt;=DATE(2019,11,22),E$21,IFERROR(VLOOKUP(C116,Tasas!$B$10:$F$200,4,TRUE),0)))</f>
        <v/>
      </c>
      <c r="G116" s="60">
        <f t="shared" si="12"/>
        <v>0</v>
      </c>
      <c r="H116" s="59" t="str">
        <f>IF(C116="","",IF(N$11,0.045,IF(E$10&gt;=DATE(2019,11,22),E$22,IFERROR(VLOOKUP(C116,Tasas!$B$10:$F$200,N$8,TRUE)*N$9,0))))</f>
        <v/>
      </c>
      <c r="I116" s="60">
        <f t="shared" si="13"/>
        <v>0</v>
      </c>
      <c r="J116" s="58" t="str">
        <f t="shared" si="15"/>
        <v/>
      </c>
    </row>
    <row r="117" spans="2:10" x14ac:dyDescent="0.2">
      <c r="B117" s="56" t="str">
        <f t="shared" si="9"/>
        <v/>
      </c>
      <c r="C117" s="57" t="str">
        <f t="shared" si="14"/>
        <v/>
      </c>
      <c r="D117" s="57" t="str">
        <f t="shared" si="10"/>
        <v/>
      </c>
      <c r="E117" s="58">
        <f t="shared" si="11"/>
        <v>0</v>
      </c>
      <c r="F117" s="59" t="str">
        <f>IF(C117="","",IF(E$10&gt;=DATE(2019,11,22),E$21,IFERROR(VLOOKUP(C117,Tasas!$B$10:$F$200,4,TRUE),0)))</f>
        <v/>
      </c>
      <c r="G117" s="60">
        <f t="shared" si="12"/>
        <v>0</v>
      </c>
      <c r="H117" s="59" t="str">
        <f>IF(C117="","",IF(N$11,0.045,IF(E$10&gt;=DATE(2019,11,22),E$22,IFERROR(VLOOKUP(C117,Tasas!$B$10:$F$200,N$8,TRUE)*N$9,0))))</f>
        <v/>
      </c>
      <c r="I117" s="60">
        <f t="shared" si="13"/>
        <v>0</v>
      </c>
      <c r="J117" s="58" t="str">
        <f t="shared" si="15"/>
        <v/>
      </c>
    </row>
    <row r="118" spans="2:10" x14ac:dyDescent="0.2">
      <c r="B118" s="56" t="str">
        <f t="shared" si="9"/>
        <v/>
      </c>
      <c r="C118" s="57" t="str">
        <f t="shared" si="14"/>
        <v/>
      </c>
      <c r="D118" s="57" t="str">
        <f t="shared" si="10"/>
        <v/>
      </c>
      <c r="E118" s="58">
        <f t="shared" si="11"/>
        <v>0</v>
      </c>
      <c r="F118" s="59" t="str">
        <f>IF(C118="","",IF(E$10&gt;=DATE(2019,11,22),E$21,IFERROR(VLOOKUP(C118,Tasas!$B$10:$F$200,4,TRUE),0)))</f>
        <v/>
      </c>
      <c r="G118" s="60">
        <f t="shared" si="12"/>
        <v>0</v>
      </c>
      <c r="H118" s="59" t="str">
        <f>IF(C118="","",IF(N$11,0.045,IF(E$10&gt;=DATE(2019,11,22),E$22,IFERROR(VLOOKUP(C118,Tasas!$B$10:$F$200,N$8,TRUE)*N$9,0))))</f>
        <v/>
      </c>
      <c r="I118" s="60">
        <f t="shared" si="13"/>
        <v>0</v>
      </c>
      <c r="J118" s="58" t="str">
        <f t="shared" si="15"/>
        <v/>
      </c>
    </row>
    <row r="119" spans="2:10" x14ac:dyDescent="0.2">
      <c r="B119" s="56" t="str">
        <f t="shared" si="9"/>
        <v/>
      </c>
      <c r="C119" s="57" t="str">
        <f t="shared" si="14"/>
        <v/>
      </c>
      <c r="D119" s="57" t="str">
        <f t="shared" si="10"/>
        <v/>
      </c>
      <c r="E119" s="58">
        <f t="shared" si="11"/>
        <v>0</v>
      </c>
      <c r="F119" s="59" t="str">
        <f>IF(C119="","",IF(E$10&gt;=DATE(2019,11,22),E$21,IFERROR(VLOOKUP(C119,Tasas!$B$10:$F$200,4,TRUE),0)))</f>
        <v/>
      </c>
      <c r="G119" s="60">
        <f t="shared" si="12"/>
        <v>0</v>
      </c>
      <c r="H119" s="59" t="str">
        <f>IF(C119="","",IF(N$11,0.045,IF(E$10&gt;=DATE(2019,11,22),E$22,IFERROR(VLOOKUP(C119,Tasas!$B$10:$F$200,N$8,TRUE)*N$9,0))))</f>
        <v/>
      </c>
      <c r="I119" s="60">
        <f t="shared" si="13"/>
        <v>0</v>
      </c>
      <c r="J119" s="58" t="str">
        <f t="shared" si="15"/>
        <v/>
      </c>
    </row>
    <row r="120" spans="2:10" x14ac:dyDescent="0.2">
      <c r="B120" s="56" t="str">
        <f t="shared" si="9"/>
        <v/>
      </c>
      <c r="C120" s="57" t="str">
        <f t="shared" si="14"/>
        <v/>
      </c>
      <c r="D120" s="57" t="str">
        <f t="shared" si="10"/>
        <v/>
      </c>
      <c r="E120" s="58">
        <f t="shared" si="11"/>
        <v>0</v>
      </c>
      <c r="F120" s="59" t="str">
        <f>IF(C120="","",IF(E$10&gt;=DATE(2019,11,22),E$21,IFERROR(VLOOKUP(C120,Tasas!$B$10:$F$200,4,TRUE),0)))</f>
        <v/>
      </c>
      <c r="G120" s="60">
        <f t="shared" si="12"/>
        <v>0</v>
      </c>
      <c r="H120" s="59" t="str">
        <f>IF(C120="","",IF(N$11,0.045,IF(E$10&gt;=DATE(2019,11,22),E$22,IFERROR(VLOOKUP(C120,Tasas!$B$10:$F$200,N$8,TRUE)*N$9,0))))</f>
        <v/>
      </c>
      <c r="I120" s="60">
        <f t="shared" si="13"/>
        <v>0</v>
      </c>
      <c r="J120" s="58" t="str">
        <f t="shared" si="15"/>
        <v/>
      </c>
    </row>
    <row r="121" spans="2:10" x14ac:dyDescent="0.2">
      <c r="B121" s="56" t="str">
        <f t="shared" si="9"/>
        <v/>
      </c>
      <c r="C121" s="57" t="str">
        <f t="shared" si="14"/>
        <v/>
      </c>
      <c r="D121" s="57" t="str">
        <f t="shared" si="10"/>
        <v/>
      </c>
      <c r="E121" s="58">
        <f t="shared" si="11"/>
        <v>0</v>
      </c>
      <c r="F121" s="59" t="str">
        <f>IF(C121="","",IF(E$10&gt;=DATE(2019,11,22),E$21,IFERROR(VLOOKUP(C121,Tasas!$B$10:$F$200,4,TRUE),0)))</f>
        <v/>
      </c>
      <c r="G121" s="60">
        <f t="shared" si="12"/>
        <v>0</v>
      </c>
      <c r="H121" s="59" t="str">
        <f>IF(C121="","",IF(N$11,0.045,IF(E$10&gt;=DATE(2019,11,22),E$22,IFERROR(VLOOKUP(C121,Tasas!$B$10:$F$200,N$8,TRUE)*N$9,0))))</f>
        <v/>
      </c>
      <c r="I121" s="60">
        <f t="shared" si="13"/>
        <v>0</v>
      </c>
      <c r="J121" s="58" t="str">
        <f t="shared" si="15"/>
        <v/>
      </c>
    </row>
    <row r="122" spans="2:10" x14ac:dyDescent="0.2">
      <c r="B122" s="56" t="str">
        <f t="shared" si="9"/>
        <v/>
      </c>
      <c r="C122" s="57" t="str">
        <f t="shared" si="14"/>
        <v/>
      </c>
      <c r="D122" s="57" t="str">
        <f t="shared" si="10"/>
        <v/>
      </c>
      <c r="E122" s="58">
        <f t="shared" si="11"/>
        <v>0</v>
      </c>
      <c r="F122" s="59" t="str">
        <f>IF(C122="","",IF(E$10&gt;=DATE(2019,11,22),E$21,IFERROR(VLOOKUP(C122,Tasas!$B$10:$F$200,4,TRUE),0)))</f>
        <v/>
      </c>
      <c r="G122" s="60">
        <f t="shared" si="12"/>
        <v>0</v>
      </c>
      <c r="H122" s="59" t="str">
        <f>IF(C122="","",IF(N$11,0.045,IF(E$10&gt;=DATE(2019,11,22),E$22,IFERROR(VLOOKUP(C122,Tasas!$B$10:$F$200,N$8,TRUE)*N$9,0))))</f>
        <v/>
      </c>
      <c r="I122" s="60">
        <f t="shared" si="13"/>
        <v>0</v>
      </c>
      <c r="J122" s="58" t="str">
        <f t="shared" si="15"/>
        <v/>
      </c>
    </row>
    <row r="123" spans="2:10" x14ac:dyDescent="0.2">
      <c r="B123" s="56" t="str">
        <f t="shared" si="9"/>
        <v/>
      </c>
      <c r="C123" s="57" t="str">
        <f t="shared" si="14"/>
        <v/>
      </c>
      <c r="D123" s="57" t="str">
        <f t="shared" si="10"/>
        <v/>
      </c>
      <c r="E123" s="58">
        <f t="shared" si="11"/>
        <v>0</v>
      </c>
      <c r="F123" s="59" t="str">
        <f>IF(C123="","",IF(E$10&gt;=DATE(2019,11,22),E$21,IFERROR(VLOOKUP(C123,Tasas!$B$10:$F$200,4,TRUE),0)))</f>
        <v/>
      </c>
      <c r="G123" s="60">
        <f t="shared" si="12"/>
        <v>0</v>
      </c>
      <c r="H123" s="59" t="str">
        <f>IF(C123="","",IF(N$11,0.045,IF(E$10&gt;=DATE(2019,11,22),E$22,IFERROR(VLOOKUP(C123,Tasas!$B$10:$F$200,N$8,TRUE)*N$9,0))))</f>
        <v/>
      </c>
      <c r="I123" s="60">
        <f t="shared" si="13"/>
        <v>0</v>
      </c>
      <c r="J123" s="58" t="str">
        <f t="shared" si="15"/>
        <v/>
      </c>
    </row>
    <row r="124" spans="2:10" x14ac:dyDescent="0.2">
      <c r="B124" s="56" t="str">
        <f t="shared" si="9"/>
        <v/>
      </c>
      <c r="C124" s="57" t="str">
        <f t="shared" si="14"/>
        <v/>
      </c>
      <c r="D124" s="57" t="str">
        <f t="shared" si="10"/>
        <v/>
      </c>
      <c r="E124" s="58">
        <f t="shared" si="11"/>
        <v>0</v>
      </c>
      <c r="F124" s="59" t="str">
        <f>IF(C124="","",IF(E$10&gt;=DATE(2019,11,22),E$21,IFERROR(VLOOKUP(C124,Tasas!$B$10:$F$200,4,TRUE),0)))</f>
        <v/>
      </c>
      <c r="G124" s="60">
        <f t="shared" si="12"/>
        <v>0</v>
      </c>
      <c r="H124" s="59" t="str">
        <f>IF(C124="","",IF(N$11,0.045,IF(E$10&gt;=DATE(2019,11,22),E$22,IFERROR(VLOOKUP(C124,Tasas!$B$10:$F$200,N$8,TRUE)*N$9,0))))</f>
        <v/>
      </c>
      <c r="I124" s="60">
        <f t="shared" si="13"/>
        <v>0</v>
      </c>
      <c r="J124" s="58" t="str">
        <f t="shared" si="15"/>
        <v/>
      </c>
    </row>
    <row r="125" spans="2:10" x14ac:dyDescent="0.2">
      <c r="B125" s="56" t="str">
        <f t="shared" si="9"/>
        <v/>
      </c>
      <c r="C125" s="57" t="str">
        <f t="shared" si="14"/>
        <v/>
      </c>
      <c r="D125" s="57" t="str">
        <f t="shared" si="10"/>
        <v/>
      </c>
      <c r="E125" s="58">
        <f t="shared" si="11"/>
        <v>0</v>
      </c>
      <c r="F125" s="59" t="str">
        <f>IF(C125="","",IF(E$10&gt;=DATE(2019,11,22),E$21,IFERROR(VLOOKUP(C125,Tasas!$B$10:$F$200,4,TRUE),0)))</f>
        <v/>
      </c>
      <c r="G125" s="60">
        <f t="shared" si="12"/>
        <v>0</v>
      </c>
      <c r="H125" s="59" t="str">
        <f>IF(C125="","",IF(N$11,0.045,IF(E$10&gt;=DATE(2019,11,22),E$22,IFERROR(VLOOKUP(C125,Tasas!$B$10:$F$200,N$8,TRUE)*N$9,0))))</f>
        <v/>
      </c>
      <c r="I125" s="60">
        <f t="shared" si="13"/>
        <v>0</v>
      </c>
      <c r="J125" s="58" t="str">
        <f t="shared" si="15"/>
        <v/>
      </c>
    </row>
    <row r="126" spans="2:10" x14ac:dyDescent="0.2">
      <c r="B126" s="56" t="str">
        <f t="shared" ref="B126:B157" si="16">IF(C126="","",PROPER(TEXT(C126,"MMMM YYYY")))</f>
        <v/>
      </c>
      <c r="C126" s="57" t="str">
        <f t="shared" si="14"/>
        <v/>
      </c>
      <c r="D126" s="57" t="str">
        <f t="shared" ref="D126:D157" si="17">IF(C126="","",MIN(E$10,EOMONTH(C126,0)))</f>
        <v/>
      </c>
      <c r="E126" s="58">
        <f t="shared" ref="E126:E157" si="18">IF(C126="",0,D126-C126+1)</f>
        <v>0</v>
      </c>
      <c r="F126" s="59" t="str">
        <f>IF(C126="","",IF(E$10&gt;=DATE(2019,11,22),E$21,IFERROR(VLOOKUP(C126,Tasas!$B$10:$F$200,4,TRUE),0)))</f>
        <v/>
      </c>
      <c r="G126" s="60">
        <f t="shared" ref="G126:G157" si="19">IF(C126="",0,ROUND(E$8*F126/365*E126,2))</f>
        <v>0</v>
      </c>
      <c r="H126" s="59" t="str">
        <f>IF(C126="","",IF(N$11,0.045,IF(E$10&gt;=DATE(2019,11,22),E$22,IFERROR(VLOOKUP(C126,Tasas!$B$10:$F$200,N$8,TRUE)*N$9,0))))</f>
        <v/>
      </c>
      <c r="I126" s="60">
        <f t="shared" ref="I126:I157" si="20">IF(C126="",0,ROUND(E$8*H126/365*E126,2))</f>
        <v>0</v>
      </c>
      <c r="J126" s="58" t="str">
        <f t="shared" si="15"/>
        <v/>
      </c>
    </row>
    <row r="127" spans="2:10" x14ac:dyDescent="0.2">
      <c r="B127" s="56" t="str">
        <f t="shared" si="16"/>
        <v/>
      </c>
      <c r="C127" s="57" t="str">
        <f t="shared" ref="C127:C158" si="21">IF(OR(C126="",D126="",D126&gt;=E$10),"",D126+1)</f>
        <v/>
      </c>
      <c r="D127" s="57" t="str">
        <f t="shared" si="17"/>
        <v/>
      </c>
      <c r="E127" s="58">
        <f t="shared" si="18"/>
        <v>0</v>
      </c>
      <c r="F127" s="59" t="str">
        <f>IF(C127="","",IF(E$10&gt;=DATE(2019,11,22),E$21,IFERROR(VLOOKUP(C127,Tasas!$B$10:$F$200,4,TRUE),0)))</f>
        <v/>
      </c>
      <c r="G127" s="60">
        <f t="shared" si="19"/>
        <v>0</v>
      </c>
      <c r="H127" s="59" t="str">
        <f>IF(C127="","",IF(N$11,0.045,IF(E$10&gt;=DATE(2019,11,22),E$22,IFERROR(VLOOKUP(C127,Tasas!$B$10:$F$200,N$8,TRUE)*N$9,0))))</f>
        <v/>
      </c>
      <c r="I127" s="60">
        <f t="shared" si="20"/>
        <v>0</v>
      </c>
      <c r="J127" s="58" t="str">
        <f t="shared" ref="J127:J158" si="22">IF(C127="","",IF(ISNUMBER(J126),J126+G127,G127))</f>
        <v/>
      </c>
    </row>
    <row r="128" spans="2:10" x14ac:dyDescent="0.2">
      <c r="B128" s="56" t="str">
        <f t="shared" si="16"/>
        <v/>
      </c>
      <c r="C128" s="57" t="str">
        <f t="shared" si="21"/>
        <v/>
      </c>
      <c r="D128" s="57" t="str">
        <f t="shared" si="17"/>
        <v/>
      </c>
      <c r="E128" s="58">
        <f t="shared" si="18"/>
        <v>0</v>
      </c>
      <c r="F128" s="59" t="str">
        <f>IF(C128="","",IF(E$10&gt;=DATE(2019,11,22),E$21,IFERROR(VLOOKUP(C128,Tasas!$B$10:$F$200,4,TRUE),0)))</f>
        <v/>
      </c>
      <c r="G128" s="60">
        <f t="shared" si="19"/>
        <v>0</v>
      </c>
      <c r="H128" s="59" t="str">
        <f>IF(C128="","",IF(N$11,0.045,IF(E$10&gt;=DATE(2019,11,22),E$22,IFERROR(VLOOKUP(C128,Tasas!$B$10:$F$200,N$8,TRUE)*N$9,0))))</f>
        <v/>
      </c>
      <c r="I128" s="60">
        <f t="shared" si="20"/>
        <v>0</v>
      </c>
      <c r="J128" s="58" t="str">
        <f t="shared" si="22"/>
        <v/>
      </c>
    </row>
    <row r="129" spans="2:10" x14ac:dyDescent="0.2">
      <c r="B129" s="56" t="str">
        <f t="shared" si="16"/>
        <v/>
      </c>
      <c r="C129" s="57" t="str">
        <f t="shared" si="21"/>
        <v/>
      </c>
      <c r="D129" s="57" t="str">
        <f t="shared" si="17"/>
        <v/>
      </c>
      <c r="E129" s="58">
        <f t="shared" si="18"/>
        <v>0</v>
      </c>
      <c r="F129" s="59" t="str">
        <f>IF(C129="","",IF(E$10&gt;=DATE(2019,11,22),E$21,IFERROR(VLOOKUP(C129,Tasas!$B$10:$F$200,4,TRUE),0)))</f>
        <v/>
      </c>
      <c r="G129" s="60">
        <f t="shared" si="19"/>
        <v>0</v>
      </c>
      <c r="H129" s="59" t="str">
        <f>IF(C129="","",IF(N$11,0.045,IF(E$10&gt;=DATE(2019,11,22),E$22,IFERROR(VLOOKUP(C129,Tasas!$B$10:$F$200,N$8,TRUE)*N$9,0))))</f>
        <v/>
      </c>
      <c r="I129" s="60">
        <f t="shared" si="20"/>
        <v>0</v>
      </c>
      <c r="J129" s="58" t="str">
        <f t="shared" si="22"/>
        <v/>
      </c>
    </row>
    <row r="130" spans="2:10" x14ac:dyDescent="0.2">
      <c r="B130" s="56" t="str">
        <f t="shared" si="16"/>
        <v/>
      </c>
      <c r="C130" s="57" t="str">
        <f t="shared" si="21"/>
        <v/>
      </c>
      <c r="D130" s="57" t="str">
        <f t="shared" si="17"/>
        <v/>
      </c>
      <c r="E130" s="58">
        <f t="shared" si="18"/>
        <v>0</v>
      </c>
      <c r="F130" s="59" t="str">
        <f>IF(C130="","",IF(E$10&gt;=DATE(2019,11,22),E$21,IFERROR(VLOOKUP(C130,Tasas!$B$10:$F$200,4,TRUE),0)))</f>
        <v/>
      </c>
      <c r="G130" s="60">
        <f t="shared" si="19"/>
        <v>0</v>
      </c>
      <c r="H130" s="59" t="str">
        <f>IF(C130="","",IF(N$11,0.045,IF(E$10&gt;=DATE(2019,11,22),E$22,IFERROR(VLOOKUP(C130,Tasas!$B$10:$F$200,N$8,TRUE)*N$9,0))))</f>
        <v/>
      </c>
      <c r="I130" s="60">
        <f t="shared" si="20"/>
        <v>0</v>
      </c>
      <c r="J130" s="58" t="str">
        <f t="shared" si="22"/>
        <v/>
      </c>
    </row>
    <row r="131" spans="2:10" x14ac:dyDescent="0.2">
      <c r="B131" s="56" t="str">
        <f t="shared" si="16"/>
        <v/>
      </c>
      <c r="C131" s="57" t="str">
        <f t="shared" si="21"/>
        <v/>
      </c>
      <c r="D131" s="57" t="str">
        <f t="shared" si="17"/>
        <v/>
      </c>
      <c r="E131" s="58">
        <f t="shared" si="18"/>
        <v>0</v>
      </c>
      <c r="F131" s="59" t="str">
        <f>IF(C131="","",IF(E$10&gt;=DATE(2019,11,22),E$21,IFERROR(VLOOKUP(C131,Tasas!$B$10:$F$200,4,TRUE),0)))</f>
        <v/>
      </c>
      <c r="G131" s="60">
        <f t="shared" si="19"/>
        <v>0</v>
      </c>
      <c r="H131" s="59" t="str">
        <f>IF(C131="","",IF(N$11,0.045,IF(E$10&gt;=DATE(2019,11,22),E$22,IFERROR(VLOOKUP(C131,Tasas!$B$10:$F$200,N$8,TRUE)*N$9,0))))</f>
        <v/>
      </c>
      <c r="I131" s="60">
        <f t="shared" si="20"/>
        <v>0</v>
      </c>
      <c r="J131" s="58" t="str">
        <f t="shared" si="22"/>
        <v/>
      </c>
    </row>
    <row r="132" spans="2:10" x14ac:dyDescent="0.2">
      <c r="B132" s="56" t="str">
        <f t="shared" si="16"/>
        <v/>
      </c>
      <c r="C132" s="57" t="str">
        <f t="shared" si="21"/>
        <v/>
      </c>
      <c r="D132" s="57" t="str">
        <f t="shared" si="17"/>
        <v/>
      </c>
      <c r="E132" s="58">
        <f t="shared" si="18"/>
        <v>0</v>
      </c>
      <c r="F132" s="59" t="str">
        <f>IF(C132="","",IF(E$10&gt;=DATE(2019,11,22),E$21,IFERROR(VLOOKUP(C132,Tasas!$B$10:$F$200,4,TRUE),0)))</f>
        <v/>
      </c>
      <c r="G132" s="60">
        <f t="shared" si="19"/>
        <v>0</v>
      </c>
      <c r="H132" s="59" t="str">
        <f>IF(C132="","",IF(N$11,0.045,IF(E$10&gt;=DATE(2019,11,22),E$22,IFERROR(VLOOKUP(C132,Tasas!$B$10:$F$200,N$8,TRUE)*N$9,0))))</f>
        <v/>
      </c>
      <c r="I132" s="60">
        <f t="shared" si="20"/>
        <v>0</v>
      </c>
      <c r="J132" s="58" t="str">
        <f t="shared" si="22"/>
        <v/>
      </c>
    </row>
    <row r="133" spans="2:10" x14ac:dyDescent="0.2">
      <c r="B133" s="56" t="str">
        <f t="shared" si="16"/>
        <v/>
      </c>
      <c r="C133" s="57" t="str">
        <f t="shared" si="21"/>
        <v/>
      </c>
      <c r="D133" s="57" t="str">
        <f t="shared" si="17"/>
        <v/>
      </c>
      <c r="E133" s="58">
        <f t="shared" si="18"/>
        <v>0</v>
      </c>
      <c r="F133" s="59" t="str">
        <f>IF(C133="","",IF(E$10&gt;=DATE(2019,11,22),E$21,IFERROR(VLOOKUP(C133,Tasas!$B$10:$F$200,4,TRUE),0)))</f>
        <v/>
      </c>
      <c r="G133" s="60">
        <f t="shared" si="19"/>
        <v>0</v>
      </c>
      <c r="H133" s="59" t="str">
        <f>IF(C133="","",IF(N$11,0.045,IF(E$10&gt;=DATE(2019,11,22),E$22,IFERROR(VLOOKUP(C133,Tasas!$B$10:$F$200,N$8,TRUE)*N$9,0))))</f>
        <v/>
      </c>
      <c r="I133" s="60">
        <f t="shared" si="20"/>
        <v>0</v>
      </c>
      <c r="J133" s="58" t="str">
        <f t="shared" si="22"/>
        <v/>
      </c>
    </row>
    <row r="134" spans="2:10" x14ac:dyDescent="0.2">
      <c r="B134" s="56" t="str">
        <f t="shared" si="16"/>
        <v/>
      </c>
      <c r="C134" s="57" t="str">
        <f t="shared" si="21"/>
        <v/>
      </c>
      <c r="D134" s="57" t="str">
        <f t="shared" si="17"/>
        <v/>
      </c>
      <c r="E134" s="58">
        <f t="shared" si="18"/>
        <v>0</v>
      </c>
      <c r="F134" s="59" t="str">
        <f>IF(C134="","",IF(E$10&gt;=DATE(2019,11,22),E$21,IFERROR(VLOOKUP(C134,Tasas!$B$10:$F$200,4,TRUE),0)))</f>
        <v/>
      </c>
      <c r="G134" s="60">
        <f t="shared" si="19"/>
        <v>0</v>
      </c>
      <c r="H134" s="59" t="str">
        <f>IF(C134="","",IF(N$11,0.045,IF(E$10&gt;=DATE(2019,11,22),E$22,IFERROR(VLOOKUP(C134,Tasas!$B$10:$F$200,N$8,TRUE)*N$9,0))))</f>
        <v/>
      </c>
      <c r="I134" s="60">
        <f t="shared" si="20"/>
        <v>0</v>
      </c>
      <c r="J134" s="58" t="str">
        <f t="shared" si="22"/>
        <v/>
      </c>
    </row>
    <row r="135" spans="2:10" x14ac:dyDescent="0.2">
      <c r="B135" s="56" t="str">
        <f t="shared" si="16"/>
        <v/>
      </c>
      <c r="C135" s="57" t="str">
        <f t="shared" si="21"/>
        <v/>
      </c>
      <c r="D135" s="57" t="str">
        <f t="shared" si="17"/>
        <v/>
      </c>
      <c r="E135" s="58">
        <f t="shared" si="18"/>
        <v>0</v>
      </c>
      <c r="F135" s="59" t="str">
        <f>IF(C135="","",IF(E$10&gt;=DATE(2019,11,22),E$21,IFERROR(VLOOKUP(C135,Tasas!$B$10:$F$200,4,TRUE),0)))</f>
        <v/>
      </c>
      <c r="G135" s="60">
        <f t="shared" si="19"/>
        <v>0</v>
      </c>
      <c r="H135" s="59" t="str">
        <f>IF(C135="","",IF(N$11,0.045,IF(E$10&gt;=DATE(2019,11,22),E$22,IFERROR(VLOOKUP(C135,Tasas!$B$10:$F$200,N$8,TRUE)*N$9,0))))</f>
        <v/>
      </c>
      <c r="I135" s="60">
        <f t="shared" si="20"/>
        <v>0</v>
      </c>
      <c r="J135" s="58" t="str">
        <f t="shared" si="22"/>
        <v/>
      </c>
    </row>
    <row r="136" spans="2:10" x14ac:dyDescent="0.2">
      <c r="B136" s="56" t="str">
        <f t="shared" si="16"/>
        <v/>
      </c>
      <c r="C136" s="57" t="str">
        <f t="shared" si="21"/>
        <v/>
      </c>
      <c r="D136" s="57" t="str">
        <f t="shared" si="17"/>
        <v/>
      </c>
      <c r="E136" s="58">
        <f t="shared" si="18"/>
        <v>0</v>
      </c>
      <c r="F136" s="59" t="str">
        <f>IF(C136="","",IF(E$10&gt;=DATE(2019,11,22),E$21,IFERROR(VLOOKUP(C136,Tasas!$B$10:$F$200,4,TRUE),0)))</f>
        <v/>
      </c>
      <c r="G136" s="60">
        <f t="shared" si="19"/>
        <v>0</v>
      </c>
      <c r="H136" s="59" t="str">
        <f>IF(C136="","",IF(N$11,0.045,IF(E$10&gt;=DATE(2019,11,22),E$22,IFERROR(VLOOKUP(C136,Tasas!$B$10:$F$200,N$8,TRUE)*N$9,0))))</f>
        <v/>
      </c>
      <c r="I136" s="60">
        <f t="shared" si="20"/>
        <v>0</v>
      </c>
      <c r="J136" s="58" t="str">
        <f t="shared" si="22"/>
        <v/>
      </c>
    </row>
    <row r="137" spans="2:10" x14ac:dyDescent="0.2">
      <c r="B137" s="56" t="str">
        <f t="shared" si="16"/>
        <v/>
      </c>
      <c r="C137" s="57" t="str">
        <f t="shared" si="21"/>
        <v/>
      </c>
      <c r="D137" s="57" t="str">
        <f t="shared" si="17"/>
        <v/>
      </c>
      <c r="E137" s="58">
        <f t="shared" si="18"/>
        <v>0</v>
      </c>
      <c r="F137" s="59" t="str">
        <f>IF(C137="","",IF(E$10&gt;=DATE(2019,11,22),E$21,IFERROR(VLOOKUP(C137,Tasas!$B$10:$F$200,4,TRUE),0)))</f>
        <v/>
      </c>
      <c r="G137" s="60">
        <f t="shared" si="19"/>
        <v>0</v>
      </c>
      <c r="H137" s="59" t="str">
        <f>IF(C137="","",IF(N$11,0.045,IF(E$10&gt;=DATE(2019,11,22),E$22,IFERROR(VLOOKUP(C137,Tasas!$B$10:$F$200,N$8,TRUE)*N$9,0))))</f>
        <v/>
      </c>
      <c r="I137" s="60">
        <f t="shared" si="20"/>
        <v>0</v>
      </c>
      <c r="J137" s="58" t="str">
        <f t="shared" si="22"/>
        <v/>
      </c>
    </row>
    <row r="138" spans="2:10" x14ac:dyDescent="0.2">
      <c r="B138" s="56" t="str">
        <f t="shared" si="16"/>
        <v/>
      </c>
      <c r="C138" s="57" t="str">
        <f t="shared" si="21"/>
        <v/>
      </c>
      <c r="D138" s="57" t="str">
        <f t="shared" si="17"/>
        <v/>
      </c>
      <c r="E138" s="58">
        <f t="shared" si="18"/>
        <v>0</v>
      </c>
      <c r="F138" s="59" t="str">
        <f>IF(C138="","",IF(E$10&gt;=DATE(2019,11,22),E$21,IFERROR(VLOOKUP(C138,Tasas!$B$10:$F$200,4,TRUE),0)))</f>
        <v/>
      </c>
      <c r="G138" s="60">
        <f t="shared" si="19"/>
        <v>0</v>
      </c>
      <c r="H138" s="59" t="str">
        <f>IF(C138="","",IF(N$11,0.045,IF(E$10&gt;=DATE(2019,11,22),E$22,IFERROR(VLOOKUP(C138,Tasas!$B$10:$F$200,N$8,TRUE)*N$9,0))))</f>
        <v/>
      </c>
      <c r="I138" s="60">
        <f t="shared" si="20"/>
        <v>0</v>
      </c>
      <c r="J138" s="58" t="str">
        <f t="shared" si="22"/>
        <v/>
      </c>
    </row>
    <row r="139" spans="2:10" x14ac:dyDescent="0.2">
      <c r="B139" s="56" t="str">
        <f t="shared" si="16"/>
        <v/>
      </c>
      <c r="C139" s="57" t="str">
        <f t="shared" si="21"/>
        <v/>
      </c>
      <c r="D139" s="57" t="str">
        <f t="shared" si="17"/>
        <v/>
      </c>
      <c r="E139" s="58">
        <f t="shared" si="18"/>
        <v>0</v>
      </c>
      <c r="F139" s="59" t="str">
        <f>IF(C139="","",IF(E$10&gt;=DATE(2019,11,22),E$21,IFERROR(VLOOKUP(C139,Tasas!$B$10:$F$200,4,TRUE),0)))</f>
        <v/>
      </c>
      <c r="G139" s="60">
        <f t="shared" si="19"/>
        <v>0</v>
      </c>
      <c r="H139" s="59" t="str">
        <f>IF(C139="","",IF(N$11,0.045,IF(E$10&gt;=DATE(2019,11,22),E$22,IFERROR(VLOOKUP(C139,Tasas!$B$10:$F$200,N$8,TRUE)*N$9,0))))</f>
        <v/>
      </c>
      <c r="I139" s="60">
        <f t="shared" si="20"/>
        <v>0</v>
      </c>
      <c r="J139" s="58" t="str">
        <f t="shared" si="22"/>
        <v/>
      </c>
    </row>
    <row r="140" spans="2:10" x14ac:dyDescent="0.2">
      <c r="B140" s="56" t="str">
        <f t="shared" si="16"/>
        <v/>
      </c>
      <c r="C140" s="57" t="str">
        <f t="shared" si="21"/>
        <v/>
      </c>
      <c r="D140" s="57" t="str">
        <f t="shared" si="17"/>
        <v/>
      </c>
      <c r="E140" s="58">
        <f t="shared" si="18"/>
        <v>0</v>
      </c>
      <c r="F140" s="59" t="str">
        <f>IF(C140="","",IF(E$10&gt;=DATE(2019,11,22),E$21,IFERROR(VLOOKUP(C140,Tasas!$B$10:$F$200,4,TRUE),0)))</f>
        <v/>
      </c>
      <c r="G140" s="60">
        <f t="shared" si="19"/>
        <v>0</v>
      </c>
      <c r="H140" s="59" t="str">
        <f>IF(C140="","",IF(N$11,0.045,IF(E$10&gt;=DATE(2019,11,22),E$22,IFERROR(VLOOKUP(C140,Tasas!$B$10:$F$200,N$8,TRUE)*N$9,0))))</f>
        <v/>
      </c>
      <c r="I140" s="60">
        <f t="shared" si="20"/>
        <v>0</v>
      </c>
      <c r="J140" s="58" t="str">
        <f t="shared" si="22"/>
        <v/>
      </c>
    </row>
    <row r="141" spans="2:10" x14ac:dyDescent="0.2">
      <c r="B141" s="56" t="str">
        <f t="shared" si="16"/>
        <v/>
      </c>
      <c r="C141" s="57" t="str">
        <f t="shared" si="21"/>
        <v/>
      </c>
      <c r="D141" s="57" t="str">
        <f t="shared" si="17"/>
        <v/>
      </c>
      <c r="E141" s="58">
        <f t="shared" si="18"/>
        <v>0</v>
      </c>
      <c r="F141" s="59" t="str">
        <f>IF(C141="","",IF(E$10&gt;=DATE(2019,11,22),E$21,IFERROR(VLOOKUP(C141,Tasas!$B$10:$F$200,4,TRUE),0)))</f>
        <v/>
      </c>
      <c r="G141" s="60">
        <f t="shared" si="19"/>
        <v>0</v>
      </c>
      <c r="H141" s="59" t="str">
        <f>IF(C141="","",IF(N$11,0.045,IF(E$10&gt;=DATE(2019,11,22),E$22,IFERROR(VLOOKUP(C141,Tasas!$B$10:$F$200,N$8,TRUE)*N$9,0))))</f>
        <v/>
      </c>
      <c r="I141" s="60">
        <f t="shared" si="20"/>
        <v>0</v>
      </c>
      <c r="J141" s="58" t="str">
        <f t="shared" si="22"/>
        <v/>
      </c>
    </row>
    <row r="142" spans="2:10" x14ac:dyDescent="0.2">
      <c r="B142" s="56" t="str">
        <f t="shared" si="16"/>
        <v/>
      </c>
      <c r="C142" s="57" t="str">
        <f t="shared" si="21"/>
        <v/>
      </c>
      <c r="D142" s="57" t="str">
        <f t="shared" si="17"/>
        <v/>
      </c>
      <c r="E142" s="58">
        <f t="shared" si="18"/>
        <v>0</v>
      </c>
      <c r="F142" s="59" t="str">
        <f>IF(C142="","",IF(E$10&gt;=DATE(2019,11,22),E$21,IFERROR(VLOOKUP(C142,Tasas!$B$10:$F$200,4,TRUE),0)))</f>
        <v/>
      </c>
      <c r="G142" s="60">
        <f t="shared" si="19"/>
        <v>0</v>
      </c>
      <c r="H142" s="59" t="str">
        <f>IF(C142="","",IF(N$11,0.045,IF(E$10&gt;=DATE(2019,11,22),E$22,IFERROR(VLOOKUP(C142,Tasas!$B$10:$F$200,N$8,TRUE)*N$9,0))))</f>
        <v/>
      </c>
      <c r="I142" s="60">
        <f t="shared" si="20"/>
        <v>0</v>
      </c>
      <c r="J142" s="58" t="str">
        <f t="shared" si="22"/>
        <v/>
      </c>
    </row>
    <row r="143" spans="2:10" x14ac:dyDescent="0.2">
      <c r="B143" s="56" t="str">
        <f t="shared" si="16"/>
        <v/>
      </c>
      <c r="C143" s="57" t="str">
        <f t="shared" si="21"/>
        <v/>
      </c>
      <c r="D143" s="57" t="str">
        <f t="shared" si="17"/>
        <v/>
      </c>
      <c r="E143" s="58">
        <f t="shared" si="18"/>
        <v>0</v>
      </c>
      <c r="F143" s="59" t="str">
        <f>IF(C143="","",IF(E$10&gt;=DATE(2019,11,22),E$21,IFERROR(VLOOKUP(C143,Tasas!$B$10:$F$200,4,TRUE),0)))</f>
        <v/>
      </c>
      <c r="G143" s="60">
        <f t="shared" si="19"/>
        <v>0</v>
      </c>
      <c r="H143" s="59" t="str">
        <f>IF(C143="","",IF(N$11,0.045,IF(E$10&gt;=DATE(2019,11,22),E$22,IFERROR(VLOOKUP(C143,Tasas!$B$10:$F$200,N$8,TRUE)*N$9,0))))</f>
        <v/>
      </c>
      <c r="I143" s="60">
        <f t="shared" si="20"/>
        <v>0</v>
      </c>
      <c r="J143" s="58" t="str">
        <f t="shared" si="22"/>
        <v/>
      </c>
    </row>
    <row r="144" spans="2:10" x14ac:dyDescent="0.2">
      <c r="B144" s="56" t="str">
        <f t="shared" si="16"/>
        <v/>
      </c>
      <c r="C144" s="57" t="str">
        <f t="shared" si="21"/>
        <v/>
      </c>
      <c r="D144" s="57" t="str">
        <f t="shared" si="17"/>
        <v/>
      </c>
      <c r="E144" s="58">
        <f t="shared" si="18"/>
        <v>0</v>
      </c>
      <c r="F144" s="59" t="str">
        <f>IF(C144="","",IF(E$10&gt;=DATE(2019,11,22),E$21,IFERROR(VLOOKUP(C144,Tasas!$B$10:$F$200,4,TRUE),0)))</f>
        <v/>
      </c>
      <c r="G144" s="60">
        <f t="shared" si="19"/>
        <v>0</v>
      </c>
      <c r="H144" s="59" t="str">
        <f>IF(C144="","",IF(N$11,0.045,IF(E$10&gt;=DATE(2019,11,22),E$22,IFERROR(VLOOKUP(C144,Tasas!$B$10:$F$200,N$8,TRUE)*N$9,0))))</f>
        <v/>
      </c>
      <c r="I144" s="60">
        <f t="shared" si="20"/>
        <v>0</v>
      </c>
      <c r="J144" s="58" t="str">
        <f t="shared" si="22"/>
        <v/>
      </c>
    </row>
    <row r="145" spans="2:10" x14ac:dyDescent="0.2">
      <c r="B145" s="56" t="str">
        <f t="shared" si="16"/>
        <v/>
      </c>
      <c r="C145" s="57" t="str">
        <f t="shared" si="21"/>
        <v/>
      </c>
      <c r="D145" s="57" t="str">
        <f t="shared" si="17"/>
        <v/>
      </c>
      <c r="E145" s="58">
        <f t="shared" si="18"/>
        <v>0</v>
      </c>
      <c r="F145" s="59" t="str">
        <f>IF(C145="","",IF(E$10&gt;=DATE(2019,11,22),E$21,IFERROR(VLOOKUP(C145,Tasas!$B$10:$F$200,4,TRUE),0)))</f>
        <v/>
      </c>
      <c r="G145" s="60">
        <f t="shared" si="19"/>
        <v>0</v>
      </c>
      <c r="H145" s="59" t="str">
        <f>IF(C145="","",IF(N$11,0.045,IF(E$10&gt;=DATE(2019,11,22),E$22,IFERROR(VLOOKUP(C145,Tasas!$B$10:$F$200,N$8,TRUE)*N$9,0))))</f>
        <v/>
      </c>
      <c r="I145" s="60">
        <f t="shared" si="20"/>
        <v>0</v>
      </c>
      <c r="J145" s="58" t="str">
        <f t="shared" si="22"/>
        <v/>
      </c>
    </row>
    <row r="146" spans="2:10" x14ac:dyDescent="0.2">
      <c r="B146" s="56" t="str">
        <f t="shared" si="16"/>
        <v/>
      </c>
      <c r="C146" s="57" t="str">
        <f t="shared" si="21"/>
        <v/>
      </c>
      <c r="D146" s="57" t="str">
        <f t="shared" si="17"/>
        <v/>
      </c>
      <c r="E146" s="58">
        <f t="shared" si="18"/>
        <v>0</v>
      </c>
      <c r="F146" s="59" t="str">
        <f>IF(C146="","",IF(E$10&gt;=DATE(2019,11,22),E$21,IFERROR(VLOOKUP(C146,Tasas!$B$10:$F$200,4,TRUE),0)))</f>
        <v/>
      </c>
      <c r="G146" s="60">
        <f t="shared" si="19"/>
        <v>0</v>
      </c>
      <c r="H146" s="59" t="str">
        <f>IF(C146="","",IF(N$11,0.045,IF(E$10&gt;=DATE(2019,11,22),E$22,IFERROR(VLOOKUP(C146,Tasas!$B$10:$F$200,N$8,TRUE)*N$9,0))))</f>
        <v/>
      </c>
      <c r="I146" s="60">
        <f t="shared" si="20"/>
        <v>0</v>
      </c>
      <c r="J146" s="58" t="str">
        <f t="shared" si="22"/>
        <v/>
      </c>
    </row>
    <row r="147" spans="2:10" x14ac:dyDescent="0.2">
      <c r="B147" s="56" t="str">
        <f t="shared" si="16"/>
        <v/>
      </c>
      <c r="C147" s="57" t="str">
        <f t="shared" si="21"/>
        <v/>
      </c>
      <c r="D147" s="57" t="str">
        <f t="shared" si="17"/>
        <v/>
      </c>
      <c r="E147" s="58">
        <f t="shared" si="18"/>
        <v>0</v>
      </c>
      <c r="F147" s="59" t="str">
        <f>IF(C147="","",IF(E$10&gt;=DATE(2019,11,22),E$21,IFERROR(VLOOKUP(C147,Tasas!$B$10:$F$200,4,TRUE),0)))</f>
        <v/>
      </c>
      <c r="G147" s="60">
        <f t="shared" si="19"/>
        <v>0</v>
      </c>
      <c r="H147" s="59" t="str">
        <f>IF(C147="","",IF(N$11,0.045,IF(E$10&gt;=DATE(2019,11,22),E$22,IFERROR(VLOOKUP(C147,Tasas!$B$10:$F$200,N$8,TRUE)*N$9,0))))</f>
        <v/>
      </c>
      <c r="I147" s="60">
        <f t="shared" si="20"/>
        <v>0</v>
      </c>
      <c r="J147" s="58" t="str">
        <f t="shared" si="22"/>
        <v/>
      </c>
    </row>
    <row r="148" spans="2:10" x14ac:dyDescent="0.2">
      <c r="B148" s="56" t="str">
        <f t="shared" si="16"/>
        <v/>
      </c>
      <c r="C148" s="57" t="str">
        <f t="shared" si="21"/>
        <v/>
      </c>
      <c r="D148" s="57" t="str">
        <f t="shared" si="17"/>
        <v/>
      </c>
      <c r="E148" s="58">
        <f t="shared" si="18"/>
        <v>0</v>
      </c>
      <c r="F148" s="59" t="str">
        <f>IF(C148="","",IF(E$10&gt;=DATE(2019,11,22),E$21,IFERROR(VLOOKUP(C148,Tasas!$B$10:$F$200,4,TRUE),0)))</f>
        <v/>
      </c>
      <c r="G148" s="60">
        <f t="shared" si="19"/>
        <v>0</v>
      </c>
      <c r="H148" s="59" t="str">
        <f>IF(C148="","",IF(N$11,0.045,IF(E$10&gt;=DATE(2019,11,22),E$22,IFERROR(VLOOKUP(C148,Tasas!$B$10:$F$200,N$8,TRUE)*N$9,0))))</f>
        <v/>
      </c>
      <c r="I148" s="60">
        <f t="shared" si="20"/>
        <v>0</v>
      </c>
      <c r="J148" s="58" t="str">
        <f t="shared" si="22"/>
        <v/>
      </c>
    </row>
    <row r="149" spans="2:10" x14ac:dyDescent="0.2">
      <c r="B149" s="56" t="str">
        <f t="shared" si="16"/>
        <v/>
      </c>
      <c r="C149" s="57" t="str">
        <f t="shared" si="21"/>
        <v/>
      </c>
      <c r="D149" s="57" t="str">
        <f t="shared" si="17"/>
        <v/>
      </c>
      <c r="E149" s="58">
        <f t="shared" si="18"/>
        <v>0</v>
      </c>
      <c r="F149" s="59" t="str">
        <f>IF(C149="","",IF(E$10&gt;=DATE(2019,11,22),E$21,IFERROR(VLOOKUP(C149,Tasas!$B$10:$F$200,4,TRUE),0)))</f>
        <v/>
      </c>
      <c r="G149" s="60">
        <f t="shared" si="19"/>
        <v>0</v>
      </c>
      <c r="H149" s="59" t="str">
        <f>IF(C149="","",IF(N$11,0.045,IF(E$10&gt;=DATE(2019,11,22),E$22,IFERROR(VLOOKUP(C149,Tasas!$B$10:$F$200,N$8,TRUE)*N$9,0))))</f>
        <v/>
      </c>
      <c r="I149" s="60">
        <f t="shared" si="20"/>
        <v>0</v>
      </c>
      <c r="J149" s="58" t="str">
        <f t="shared" si="22"/>
        <v/>
      </c>
    </row>
    <row r="150" spans="2:10" x14ac:dyDescent="0.2">
      <c r="B150" s="56" t="str">
        <f t="shared" si="16"/>
        <v/>
      </c>
      <c r="C150" s="57" t="str">
        <f t="shared" si="21"/>
        <v/>
      </c>
      <c r="D150" s="57" t="str">
        <f t="shared" si="17"/>
        <v/>
      </c>
      <c r="E150" s="58">
        <f t="shared" si="18"/>
        <v>0</v>
      </c>
      <c r="F150" s="59" t="str">
        <f>IF(C150="","",IF(E$10&gt;=DATE(2019,11,22),E$21,IFERROR(VLOOKUP(C150,Tasas!$B$10:$F$200,4,TRUE),0)))</f>
        <v/>
      </c>
      <c r="G150" s="60">
        <f t="shared" si="19"/>
        <v>0</v>
      </c>
      <c r="H150" s="59" t="str">
        <f>IF(C150="","",IF(N$11,0.045,IF(E$10&gt;=DATE(2019,11,22),E$22,IFERROR(VLOOKUP(C150,Tasas!$B$10:$F$200,N$8,TRUE)*N$9,0))))</f>
        <v/>
      </c>
      <c r="I150" s="60">
        <f t="shared" si="20"/>
        <v>0</v>
      </c>
      <c r="J150" s="58" t="str">
        <f t="shared" si="22"/>
        <v/>
      </c>
    </row>
    <row r="151" spans="2:10" x14ac:dyDescent="0.2">
      <c r="B151" s="56" t="str">
        <f t="shared" si="16"/>
        <v/>
      </c>
      <c r="C151" s="57" t="str">
        <f t="shared" si="21"/>
        <v/>
      </c>
      <c r="D151" s="57" t="str">
        <f t="shared" si="17"/>
        <v/>
      </c>
      <c r="E151" s="58">
        <f t="shared" si="18"/>
        <v>0</v>
      </c>
      <c r="F151" s="59" t="str">
        <f>IF(C151="","",IF(E$10&gt;=DATE(2019,11,22),E$21,IFERROR(VLOOKUP(C151,Tasas!$B$10:$F$200,4,TRUE),0)))</f>
        <v/>
      </c>
      <c r="G151" s="60">
        <f t="shared" si="19"/>
        <v>0</v>
      </c>
      <c r="H151" s="59" t="str">
        <f>IF(C151="","",IF(N$11,0.045,IF(E$10&gt;=DATE(2019,11,22),E$22,IFERROR(VLOOKUP(C151,Tasas!$B$10:$F$200,N$8,TRUE)*N$9,0))))</f>
        <v/>
      </c>
      <c r="I151" s="60">
        <f t="shared" si="20"/>
        <v>0</v>
      </c>
      <c r="J151" s="58" t="str">
        <f t="shared" si="22"/>
        <v/>
      </c>
    </row>
    <row r="152" spans="2:10" x14ac:dyDescent="0.2">
      <c r="B152" s="56" t="str">
        <f t="shared" si="16"/>
        <v/>
      </c>
      <c r="C152" s="57" t="str">
        <f t="shared" si="21"/>
        <v/>
      </c>
      <c r="D152" s="57" t="str">
        <f t="shared" si="17"/>
        <v/>
      </c>
      <c r="E152" s="58">
        <f t="shared" si="18"/>
        <v>0</v>
      </c>
      <c r="F152" s="59" t="str">
        <f>IF(C152="","",IF(E$10&gt;=DATE(2019,11,22),E$21,IFERROR(VLOOKUP(C152,Tasas!$B$10:$F$200,4,TRUE),0)))</f>
        <v/>
      </c>
      <c r="G152" s="60">
        <f t="shared" si="19"/>
        <v>0</v>
      </c>
      <c r="H152" s="59" t="str">
        <f>IF(C152="","",IF(N$11,0.045,IF(E$10&gt;=DATE(2019,11,22),E$22,IFERROR(VLOOKUP(C152,Tasas!$B$10:$F$200,N$8,TRUE)*N$9,0))))</f>
        <v/>
      </c>
      <c r="I152" s="60">
        <f t="shared" si="20"/>
        <v>0</v>
      </c>
      <c r="J152" s="58" t="str">
        <f t="shared" si="22"/>
        <v/>
      </c>
    </row>
    <row r="153" spans="2:10" x14ac:dyDescent="0.2">
      <c r="B153" s="56" t="str">
        <f t="shared" si="16"/>
        <v/>
      </c>
      <c r="C153" s="57" t="str">
        <f t="shared" si="21"/>
        <v/>
      </c>
      <c r="D153" s="57" t="str">
        <f t="shared" si="17"/>
        <v/>
      </c>
      <c r="E153" s="58">
        <f t="shared" si="18"/>
        <v>0</v>
      </c>
      <c r="F153" s="59" t="str">
        <f>IF(C153="","",IF(E$10&gt;=DATE(2019,11,22),E$21,IFERROR(VLOOKUP(C153,Tasas!$B$10:$F$200,4,TRUE),0)))</f>
        <v/>
      </c>
      <c r="G153" s="60">
        <f t="shared" si="19"/>
        <v>0</v>
      </c>
      <c r="H153" s="59" t="str">
        <f>IF(C153="","",IF(N$11,0.045,IF(E$10&gt;=DATE(2019,11,22),E$22,IFERROR(VLOOKUP(C153,Tasas!$B$10:$F$200,N$8,TRUE)*N$9,0))))</f>
        <v/>
      </c>
      <c r="I153" s="60">
        <f t="shared" si="20"/>
        <v>0</v>
      </c>
      <c r="J153" s="58" t="str">
        <f t="shared" si="22"/>
        <v/>
      </c>
    </row>
    <row r="154" spans="2:10" x14ac:dyDescent="0.2">
      <c r="B154" s="56" t="str">
        <f t="shared" si="16"/>
        <v/>
      </c>
      <c r="C154" s="57" t="str">
        <f t="shared" si="21"/>
        <v/>
      </c>
      <c r="D154" s="57" t="str">
        <f t="shared" si="17"/>
        <v/>
      </c>
      <c r="E154" s="58">
        <f t="shared" si="18"/>
        <v>0</v>
      </c>
      <c r="F154" s="59" t="str">
        <f>IF(C154="","",IF(E$10&gt;=DATE(2019,11,22),E$21,IFERROR(VLOOKUP(C154,Tasas!$B$10:$F$200,4,TRUE),0)))</f>
        <v/>
      </c>
      <c r="G154" s="60">
        <f t="shared" si="19"/>
        <v>0</v>
      </c>
      <c r="H154" s="59" t="str">
        <f>IF(C154="","",IF(N$11,0.045,IF(E$10&gt;=DATE(2019,11,22),E$22,IFERROR(VLOOKUP(C154,Tasas!$B$10:$F$200,N$8,TRUE)*N$9,0))))</f>
        <v/>
      </c>
      <c r="I154" s="60">
        <f t="shared" si="20"/>
        <v>0</v>
      </c>
      <c r="J154" s="58" t="str">
        <f t="shared" si="22"/>
        <v/>
      </c>
    </row>
    <row r="155" spans="2:10" x14ac:dyDescent="0.2">
      <c r="B155" s="56" t="str">
        <f t="shared" si="16"/>
        <v/>
      </c>
      <c r="C155" s="57" t="str">
        <f t="shared" si="21"/>
        <v/>
      </c>
      <c r="D155" s="57" t="str">
        <f t="shared" si="17"/>
        <v/>
      </c>
      <c r="E155" s="58">
        <f t="shared" si="18"/>
        <v>0</v>
      </c>
      <c r="F155" s="59" t="str">
        <f>IF(C155="","",IF(E$10&gt;=DATE(2019,11,22),E$21,IFERROR(VLOOKUP(C155,Tasas!$B$10:$F$200,4,TRUE),0)))</f>
        <v/>
      </c>
      <c r="G155" s="60">
        <f t="shared" si="19"/>
        <v>0</v>
      </c>
      <c r="H155" s="59" t="str">
        <f>IF(C155="","",IF(N$11,0.045,IF(E$10&gt;=DATE(2019,11,22),E$22,IFERROR(VLOOKUP(C155,Tasas!$B$10:$F$200,N$8,TRUE)*N$9,0))))</f>
        <v/>
      </c>
      <c r="I155" s="60">
        <f t="shared" si="20"/>
        <v>0</v>
      </c>
      <c r="J155" s="58" t="str">
        <f t="shared" si="22"/>
        <v/>
      </c>
    </row>
    <row r="156" spans="2:10" x14ac:dyDescent="0.2">
      <c r="B156" s="56" t="str">
        <f t="shared" si="16"/>
        <v/>
      </c>
      <c r="C156" s="57" t="str">
        <f t="shared" si="21"/>
        <v/>
      </c>
      <c r="D156" s="57" t="str">
        <f t="shared" si="17"/>
        <v/>
      </c>
      <c r="E156" s="58">
        <f t="shared" si="18"/>
        <v>0</v>
      </c>
      <c r="F156" s="59" t="str">
        <f>IF(C156="","",IF(E$10&gt;=DATE(2019,11,22),E$21,IFERROR(VLOOKUP(C156,Tasas!$B$10:$F$200,4,TRUE),0)))</f>
        <v/>
      </c>
      <c r="G156" s="60">
        <f t="shared" si="19"/>
        <v>0</v>
      </c>
      <c r="H156" s="59" t="str">
        <f>IF(C156="","",IF(N$11,0.045,IF(E$10&gt;=DATE(2019,11,22),E$22,IFERROR(VLOOKUP(C156,Tasas!$B$10:$F$200,N$8,TRUE)*N$9,0))))</f>
        <v/>
      </c>
      <c r="I156" s="60">
        <f t="shared" si="20"/>
        <v>0</v>
      </c>
      <c r="J156" s="58" t="str">
        <f t="shared" si="22"/>
        <v/>
      </c>
    </row>
    <row r="157" spans="2:10" x14ac:dyDescent="0.2">
      <c r="B157" s="56" t="str">
        <f t="shared" si="16"/>
        <v/>
      </c>
      <c r="C157" s="57" t="str">
        <f t="shared" si="21"/>
        <v/>
      </c>
      <c r="D157" s="57" t="str">
        <f t="shared" si="17"/>
        <v/>
      </c>
      <c r="E157" s="58">
        <f t="shared" si="18"/>
        <v>0</v>
      </c>
      <c r="F157" s="59" t="str">
        <f>IF(C157="","",IF(E$10&gt;=DATE(2019,11,22),E$21,IFERROR(VLOOKUP(C157,Tasas!$B$10:$F$200,4,TRUE),0)))</f>
        <v/>
      </c>
      <c r="G157" s="60">
        <f t="shared" si="19"/>
        <v>0</v>
      </c>
      <c r="H157" s="59" t="str">
        <f>IF(C157="","",IF(N$11,0.045,IF(E$10&gt;=DATE(2019,11,22),E$22,IFERROR(VLOOKUP(C157,Tasas!$B$10:$F$200,N$8,TRUE)*N$9,0))))</f>
        <v/>
      </c>
      <c r="I157" s="60">
        <f t="shared" si="20"/>
        <v>0</v>
      </c>
      <c r="J157" s="58" t="str">
        <f t="shared" si="22"/>
        <v/>
      </c>
    </row>
    <row r="158" spans="2:10" x14ac:dyDescent="0.2">
      <c r="B158" s="56" t="str">
        <f t="shared" ref="B158:B189" si="23">IF(C158="","",PROPER(TEXT(C158,"MMMM YYYY")))</f>
        <v/>
      </c>
      <c r="C158" s="57" t="str">
        <f t="shared" si="21"/>
        <v/>
      </c>
      <c r="D158" s="57" t="str">
        <f t="shared" ref="D158:D189" si="24">IF(C158="","",MIN(E$10,EOMONTH(C158,0)))</f>
        <v/>
      </c>
      <c r="E158" s="58">
        <f t="shared" ref="E158:E189" si="25">IF(C158="",0,D158-C158+1)</f>
        <v>0</v>
      </c>
      <c r="F158" s="59" t="str">
        <f>IF(C158="","",IF(E$10&gt;=DATE(2019,11,22),E$21,IFERROR(VLOOKUP(C158,Tasas!$B$10:$F$200,4,TRUE),0)))</f>
        <v/>
      </c>
      <c r="G158" s="60">
        <f t="shared" ref="G158:G189" si="26">IF(C158="",0,ROUND(E$8*F158/365*E158,2))</f>
        <v>0</v>
      </c>
      <c r="H158" s="59" t="str">
        <f>IF(C158="","",IF(N$11,0.045,IF(E$10&gt;=DATE(2019,11,22),E$22,IFERROR(VLOOKUP(C158,Tasas!$B$10:$F$200,N$8,TRUE)*N$9,0))))</f>
        <v/>
      </c>
      <c r="I158" s="60">
        <f t="shared" ref="I158:I189" si="27">IF(C158="",0,ROUND(E$8*H158/365*E158,2))</f>
        <v>0</v>
      </c>
      <c r="J158" s="58" t="str">
        <f t="shared" si="22"/>
        <v/>
      </c>
    </row>
    <row r="159" spans="2:10" x14ac:dyDescent="0.2">
      <c r="B159" s="56" t="str">
        <f t="shared" si="23"/>
        <v/>
      </c>
      <c r="C159" s="57" t="str">
        <f t="shared" ref="C159:C190" si="28">IF(OR(C158="",D158="",D158&gt;=E$10),"",D158+1)</f>
        <v/>
      </c>
      <c r="D159" s="57" t="str">
        <f t="shared" si="24"/>
        <v/>
      </c>
      <c r="E159" s="58">
        <f t="shared" si="25"/>
        <v>0</v>
      </c>
      <c r="F159" s="59" t="str">
        <f>IF(C159="","",IF(E$10&gt;=DATE(2019,11,22),E$21,IFERROR(VLOOKUP(C159,Tasas!$B$10:$F$200,4,TRUE),0)))</f>
        <v/>
      </c>
      <c r="G159" s="60">
        <f t="shared" si="26"/>
        <v>0</v>
      </c>
      <c r="H159" s="59" t="str">
        <f>IF(C159="","",IF(N$11,0.045,IF(E$10&gt;=DATE(2019,11,22),E$22,IFERROR(VLOOKUP(C159,Tasas!$B$10:$F$200,N$8,TRUE)*N$9,0))))</f>
        <v/>
      </c>
      <c r="I159" s="60">
        <f t="shared" si="27"/>
        <v>0</v>
      </c>
      <c r="J159" s="58" t="str">
        <f t="shared" ref="J159:J190" si="29">IF(C159="","",IF(ISNUMBER(J158),J158+G159,G159))</f>
        <v/>
      </c>
    </row>
    <row r="160" spans="2:10" x14ac:dyDescent="0.2">
      <c r="B160" s="56" t="str">
        <f t="shared" si="23"/>
        <v/>
      </c>
      <c r="C160" s="57" t="str">
        <f t="shared" si="28"/>
        <v/>
      </c>
      <c r="D160" s="57" t="str">
        <f t="shared" si="24"/>
        <v/>
      </c>
      <c r="E160" s="58">
        <f t="shared" si="25"/>
        <v>0</v>
      </c>
      <c r="F160" s="59" t="str">
        <f>IF(C160="","",IF(E$10&gt;=DATE(2019,11,22),E$21,IFERROR(VLOOKUP(C160,Tasas!$B$10:$F$200,4,TRUE),0)))</f>
        <v/>
      </c>
      <c r="G160" s="60">
        <f t="shared" si="26"/>
        <v>0</v>
      </c>
      <c r="H160" s="59" t="str">
        <f>IF(C160="","",IF(N$11,0.045,IF(E$10&gt;=DATE(2019,11,22),E$22,IFERROR(VLOOKUP(C160,Tasas!$B$10:$F$200,N$8,TRUE)*N$9,0))))</f>
        <v/>
      </c>
      <c r="I160" s="60">
        <f t="shared" si="27"/>
        <v>0</v>
      </c>
      <c r="J160" s="58" t="str">
        <f t="shared" si="29"/>
        <v/>
      </c>
    </row>
    <row r="161" spans="2:10" x14ac:dyDescent="0.2">
      <c r="B161" s="56" t="str">
        <f t="shared" si="23"/>
        <v/>
      </c>
      <c r="C161" s="57" t="str">
        <f t="shared" si="28"/>
        <v/>
      </c>
      <c r="D161" s="57" t="str">
        <f t="shared" si="24"/>
        <v/>
      </c>
      <c r="E161" s="58">
        <f t="shared" si="25"/>
        <v>0</v>
      </c>
      <c r="F161" s="59" t="str">
        <f>IF(C161="","",IF(E$10&gt;=DATE(2019,11,22),E$21,IFERROR(VLOOKUP(C161,Tasas!$B$10:$F$200,4,TRUE),0)))</f>
        <v/>
      </c>
      <c r="G161" s="60">
        <f t="shared" si="26"/>
        <v>0</v>
      </c>
      <c r="H161" s="59" t="str">
        <f>IF(C161="","",IF(N$11,0.045,IF(E$10&gt;=DATE(2019,11,22),E$22,IFERROR(VLOOKUP(C161,Tasas!$B$10:$F$200,N$8,TRUE)*N$9,0))))</f>
        <v/>
      </c>
      <c r="I161" s="60">
        <f t="shared" si="27"/>
        <v>0</v>
      </c>
      <c r="J161" s="58" t="str">
        <f t="shared" si="29"/>
        <v/>
      </c>
    </row>
    <row r="162" spans="2:10" x14ac:dyDescent="0.2">
      <c r="B162" s="56" t="str">
        <f t="shared" si="23"/>
        <v/>
      </c>
      <c r="C162" s="57" t="str">
        <f t="shared" si="28"/>
        <v/>
      </c>
      <c r="D162" s="57" t="str">
        <f t="shared" si="24"/>
        <v/>
      </c>
      <c r="E162" s="58">
        <f t="shared" si="25"/>
        <v>0</v>
      </c>
      <c r="F162" s="59" t="str">
        <f>IF(C162="","",IF(E$10&gt;=DATE(2019,11,22),E$21,IFERROR(VLOOKUP(C162,Tasas!$B$10:$F$200,4,TRUE),0)))</f>
        <v/>
      </c>
      <c r="G162" s="60">
        <f t="shared" si="26"/>
        <v>0</v>
      </c>
      <c r="H162" s="59" t="str">
        <f>IF(C162="","",IF(N$11,0.045,IF(E$10&gt;=DATE(2019,11,22),E$22,IFERROR(VLOOKUP(C162,Tasas!$B$10:$F$200,N$8,TRUE)*N$9,0))))</f>
        <v/>
      </c>
      <c r="I162" s="60">
        <f t="shared" si="27"/>
        <v>0</v>
      </c>
      <c r="J162" s="58" t="str">
        <f t="shared" si="29"/>
        <v/>
      </c>
    </row>
    <row r="163" spans="2:10" x14ac:dyDescent="0.2">
      <c r="B163" s="56" t="str">
        <f t="shared" si="23"/>
        <v/>
      </c>
      <c r="C163" s="57" t="str">
        <f t="shared" si="28"/>
        <v/>
      </c>
      <c r="D163" s="57" t="str">
        <f t="shared" si="24"/>
        <v/>
      </c>
      <c r="E163" s="58">
        <f t="shared" si="25"/>
        <v>0</v>
      </c>
      <c r="F163" s="59" t="str">
        <f>IF(C163="","",IF(E$10&gt;=DATE(2019,11,22),E$21,IFERROR(VLOOKUP(C163,Tasas!$B$10:$F$200,4,TRUE),0)))</f>
        <v/>
      </c>
      <c r="G163" s="60">
        <f t="shared" si="26"/>
        <v>0</v>
      </c>
      <c r="H163" s="59" t="str">
        <f>IF(C163="","",IF(N$11,0.045,IF(E$10&gt;=DATE(2019,11,22),E$22,IFERROR(VLOOKUP(C163,Tasas!$B$10:$F$200,N$8,TRUE)*N$9,0))))</f>
        <v/>
      </c>
      <c r="I163" s="60">
        <f t="shared" si="27"/>
        <v>0</v>
      </c>
      <c r="J163" s="58" t="str">
        <f t="shared" si="29"/>
        <v/>
      </c>
    </row>
    <row r="164" spans="2:10" x14ac:dyDescent="0.2">
      <c r="B164" s="56" t="str">
        <f t="shared" si="23"/>
        <v/>
      </c>
      <c r="C164" s="57" t="str">
        <f t="shared" si="28"/>
        <v/>
      </c>
      <c r="D164" s="57" t="str">
        <f t="shared" si="24"/>
        <v/>
      </c>
      <c r="E164" s="58">
        <f t="shared" si="25"/>
        <v>0</v>
      </c>
      <c r="F164" s="59" t="str">
        <f>IF(C164="","",IF(E$10&gt;=DATE(2019,11,22),E$21,IFERROR(VLOOKUP(C164,Tasas!$B$10:$F$200,4,TRUE),0)))</f>
        <v/>
      </c>
      <c r="G164" s="60">
        <f t="shared" si="26"/>
        <v>0</v>
      </c>
      <c r="H164" s="59" t="str">
        <f>IF(C164="","",IF(N$11,0.045,IF(E$10&gt;=DATE(2019,11,22),E$22,IFERROR(VLOOKUP(C164,Tasas!$B$10:$F$200,N$8,TRUE)*N$9,0))))</f>
        <v/>
      </c>
      <c r="I164" s="60">
        <f t="shared" si="27"/>
        <v>0</v>
      </c>
      <c r="J164" s="58" t="str">
        <f t="shared" si="29"/>
        <v/>
      </c>
    </row>
    <row r="165" spans="2:10" x14ac:dyDescent="0.2">
      <c r="B165" s="56" t="str">
        <f t="shared" si="23"/>
        <v/>
      </c>
      <c r="C165" s="57" t="str">
        <f t="shared" si="28"/>
        <v/>
      </c>
      <c r="D165" s="57" t="str">
        <f t="shared" si="24"/>
        <v/>
      </c>
      <c r="E165" s="58">
        <f t="shared" si="25"/>
        <v>0</v>
      </c>
      <c r="F165" s="59" t="str">
        <f>IF(C165="","",IF(E$10&gt;=DATE(2019,11,22),E$21,IFERROR(VLOOKUP(C165,Tasas!$B$10:$F$200,4,TRUE),0)))</f>
        <v/>
      </c>
      <c r="G165" s="60">
        <f t="shared" si="26"/>
        <v>0</v>
      </c>
      <c r="H165" s="59" t="str">
        <f>IF(C165="","",IF(N$11,0.045,IF(E$10&gt;=DATE(2019,11,22),E$22,IFERROR(VLOOKUP(C165,Tasas!$B$10:$F$200,N$8,TRUE)*N$9,0))))</f>
        <v/>
      </c>
      <c r="I165" s="60">
        <f t="shared" si="27"/>
        <v>0</v>
      </c>
      <c r="J165" s="58" t="str">
        <f t="shared" si="29"/>
        <v/>
      </c>
    </row>
    <row r="166" spans="2:10" x14ac:dyDescent="0.2">
      <c r="B166" s="56" t="str">
        <f t="shared" si="23"/>
        <v/>
      </c>
      <c r="C166" s="57" t="str">
        <f t="shared" si="28"/>
        <v/>
      </c>
      <c r="D166" s="57" t="str">
        <f t="shared" si="24"/>
        <v/>
      </c>
      <c r="E166" s="58">
        <f t="shared" si="25"/>
        <v>0</v>
      </c>
      <c r="F166" s="59" t="str">
        <f>IF(C166="","",IF(E$10&gt;=DATE(2019,11,22),E$21,IFERROR(VLOOKUP(C166,Tasas!$B$10:$F$200,4,TRUE),0)))</f>
        <v/>
      </c>
      <c r="G166" s="60">
        <f t="shared" si="26"/>
        <v>0</v>
      </c>
      <c r="H166" s="59" t="str">
        <f>IF(C166="","",IF(N$11,0.045,IF(E$10&gt;=DATE(2019,11,22),E$22,IFERROR(VLOOKUP(C166,Tasas!$B$10:$F$200,N$8,TRUE)*N$9,0))))</f>
        <v/>
      </c>
      <c r="I166" s="60">
        <f t="shared" si="27"/>
        <v>0</v>
      </c>
      <c r="J166" s="58" t="str">
        <f t="shared" si="29"/>
        <v/>
      </c>
    </row>
    <row r="167" spans="2:10" x14ac:dyDescent="0.2">
      <c r="B167" s="56" t="str">
        <f t="shared" si="23"/>
        <v/>
      </c>
      <c r="C167" s="57" t="str">
        <f t="shared" si="28"/>
        <v/>
      </c>
      <c r="D167" s="57" t="str">
        <f t="shared" si="24"/>
        <v/>
      </c>
      <c r="E167" s="58">
        <f t="shared" si="25"/>
        <v>0</v>
      </c>
      <c r="F167" s="59" t="str">
        <f>IF(C167="","",IF(E$10&gt;=DATE(2019,11,22),E$21,IFERROR(VLOOKUP(C167,Tasas!$B$10:$F$200,4,TRUE),0)))</f>
        <v/>
      </c>
      <c r="G167" s="60">
        <f t="shared" si="26"/>
        <v>0</v>
      </c>
      <c r="H167" s="59" t="str">
        <f>IF(C167="","",IF(N$11,0.045,IF(E$10&gt;=DATE(2019,11,22),E$22,IFERROR(VLOOKUP(C167,Tasas!$B$10:$F$200,N$8,TRUE)*N$9,0))))</f>
        <v/>
      </c>
      <c r="I167" s="60">
        <f t="shared" si="27"/>
        <v>0</v>
      </c>
      <c r="J167" s="58" t="str">
        <f t="shared" si="29"/>
        <v/>
      </c>
    </row>
    <row r="168" spans="2:10" x14ac:dyDescent="0.2">
      <c r="B168" s="56" t="str">
        <f t="shared" si="23"/>
        <v/>
      </c>
      <c r="C168" s="57" t="str">
        <f t="shared" si="28"/>
        <v/>
      </c>
      <c r="D168" s="57" t="str">
        <f t="shared" si="24"/>
        <v/>
      </c>
      <c r="E168" s="58">
        <f t="shared" si="25"/>
        <v>0</v>
      </c>
      <c r="F168" s="59" t="str">
        <f>IF(C168="","",IF(E$10&gt;=DATE(2019,11,22),E$21,IFERROR(VLOOKUP(C168,Tasas!$B$10:$F$200,4,TRUE),0)))</f>
        <v/>
      </c>
      <c r="G168" s="60">
        <f t="shared" si="26"/>
        <v>0</v>
      </c>
      <c r="H168" s="59" t="str">
        <f>IF(C168="","",IF(N$11,0.045,IF(E$10&gt;=DATE(2019,11,22),E$22,IFERROR(VLOOKUP(C168,Tasas!$B$10:$F$200,N$8,TRUE)*N$9,0))))</f>
        <v/>
      </c>
      <c r="I168" s="60">
        <f t="shared" si="27"/>
        <v>0</v>
      </c>
      <c r="J168" s="58" t="str">
        <f t="shared" si="29"/>
        <v/>
      </c>
    </row>
    <row r="169" spans="2:10" x14ac:dyDescent="0.2">
      <c r="B169" s="56" t="str">
        <f t="shared" si="23"/>
        <v/>
      </c>
      <c r="C169" s="57" t="str">
        <f t="shared" si="28"/>
        <v/>
      </c>
      <c r="D169" s="57" t="str">
        <f t="shared" si="24"/>
        <v/>
      </c>
      <c r="E169" s="58">
        <f t="shared" si="25"/>
        <v>0</v>
      </c>
      <c r="F169" s="59" t="str">
        <f>IF(C169="","",IF(E$10&gt;=DATE(2019,11,22),E$21,IFERROR(VLOOKUP(C169,Tasas!$B$10:$F$200,4,TRUE),0)))</f>
        <v/>
      </c>
      <c r="G169" s="60">
        <f t="shared" si="26"/>
        <v>0</v>
      </c>
      <c r="H169" s="59" t="str">
        <f>IF(C169="","",IF(N$11,0.045,IF(E$10&gt;=DATE(2019,11,22),E$22,IFERROR(VLOOKUP(C169,Tasas!$B$10:$F$200,N$8,TRUE)*N$9,0))))</f>
        <v/>
      </c>
      <c r="I169" s="60">
        <f t="shared" si="27"/>
        <v>0</v>
      </c>
      <c r="J169" s="58" t="str">
        <f t="shared" si="29"/>
        <v/>
      </c>
    </row>
    <row r="170" spans="2:10" x14ac:dyDescent="0.2">
      <c r="B170" s="56" t="str">
        <f t="shared" si="23"/>
        <v/>
      </c>
      <c r="C170" s="57" t="str">
        <f t="shared" si="28"/>
        <v/>
      </c>
      <c r="D170" s="57" t="str">
        <f t="shared" si="24"/>
        <v/>
      </c>
      <c r="E170" s="58">
        <f t="shared" si="25"/>
        <v>0</v>
      </c>
      <c r="F170" s="59" t="str">
        <f>IF(C170="","",IF(E$10&gt;=DATE(2019,11,22),E$21,IFERROR(VLOOKUP(C170,Tasas!$B$10:$F$200,4,TRUE),0)))</f>
        <v/>
      </c>
      <c r="G170" s="60">
        <f t="shared" si="26"/>
        <v>0</v>
      </c>
      <c r="H170" s="59" t="str">
        <f>IF(C170="","",IF(N$11,0.045,IF(E$10&gt;=DATE(2019,11,22),E$22,IFERROR(VLOOKUP(C170,Tasas!$B$10:$F$200,N$8,TRUE)*N$9,0))))</f>
        <v/>
      </c>
      <c r="I170" s="60">
        <f t="shared" si="27"/>
        <v>0</v>
      </c>
      <c r="J170" s="58" t="str">
        <f t="shared" si="29"/>
        <v/>
      </c>
    </row>
    <row r="171" spans="2:10" x14ac:dyDescent="0.2">
      <c r="B171" s="56" t="str">
        <f t="shared" si="23"/>
        <v/>
      </c>
      <c r="C171" s="57" t="str">
        <f t="shared" si="28"/>
        <v/>
      </c>
      <c r="D171" s="57" t="str">
        <f t="shared" si="24"/>
        <v/>
      </c>
      <c r="E171" s="58">
        <f t="shared" si="25"/>
        <v>0</v>
      </c>
      <c r="F171" s="59" t="str">
        <f>IF(C171="","",IF(E$10&gt;=DATE(2019,11,22),E$21,IFERROR(VLOOKUP(C171,Tasas!$B$10:$F$200,4,TRUE),0)))</f>
        <v/>
      </c>
      <c r="G171" s="60">
        <f t="shared" si="26"/>
        <v>0</v>
      </c>
      <c r="H171" s="59" t="str">
        <f>IF(C171="","",IF(N$11,0.045,IF(E$10&gt;=DATE(2019,11,22),E$22,IFERROR(VLOOKUP(C171,Tasas!$B$10:$F$200,N$8,TRUE)*N$9,0))))</f>
        <v/>
      </c>
      <c r="I171" s="60">
        <f t="shared" si="27"/>
        <v>0</v>
      </c>
      <c r="J171" s="58" t="str">
        <f t="shared" si="29"/>
        <v/>
      </c>
    </row>
    <row r="172" spans="2:10" x14ac:dyDescent="0.2">
      <c r="B172" s="56" t="str">
        <f t="shared" si="23"/>
        <v/>
      </c>
      <c r="C172" s="57" t="str">
        <f t="shared" si="28"/>
        <v/>
      </c>
      <c r="D172" s="57" t="str">
        <f t="shared" si="24"/>
        <v/>
      </c>
      <c r="E172" s="58">
        <f t="shared" si="25"/>
        <v>0</v>
      </c>
      <c r="F172" s="59" t="str">
        <f>IF(C172="","",IF(E$10&gt;=DATE(2019,11,22),E$21,IFERROR(VLOOKUP(C172,Tasas!$B$10:$F$200,4,TRUE),0)))</f>
        <v/>
      </c>
      <c r="G172" s="60">
        <f t="shared" si="26"/>
        <v>0</v>
      </c>
      <c r="H172" s="59" t="str">
        <f>IF(C172="","",IF(N$11,0.045,IF(E$10&gt;=DATE(2019,11,22),E$22,IFERROR(VLOOKUP(C172,Tasas!$B$10:$F$200,N$8,TRUE)*N$9,0))))</f>
        <v/>
      </c>
      <c r="I172" s="60">
        <f t="shared" si="27"/>
        <v>0</v>
      </c>
      <c r="J172" s="58" t="str">
        <f t="shared" si="29"/>
        <v/>
      </c>
    </row>
    <row r="173" spans="2:10" x14ac:dyDescent="0.2">
      <c r="B173" s="56" t="str">
        <f t="shared" si="23"/>
        <v/>
      </c>
      <c r="C173" s="57" t="str">
        <f t="shared" si="28"/>
        <v/>
      </c>
      <c r="D173" s="57" t="str">
        <f t="shared" si="24"/>
        <v/>
      </c>
      <c r="E173" s="58">
        <f t="shared" si="25"/>
        <v>0</v>
      </c>
      <c r="F173" s="59" t="str">
        <f>IF(C173="","",IF(E$10&gt;=DATE(2019,11,22),E$21,IFERROR(VLOOKUP(C173,Tasas!$B$10:$F$200,4,TRUE),0)))</f>
        <v/>
      </c>
      <c r="G173" s="60">
        <f t="shared" si="26"/>
        <v>0</v>
      </c>
      <c r="H173" s="59" t="str">
        <f>IF(C173="","",IF(N$11,0.045,IF(E$10&gt;=DATE(2019,11,22),E$22,IFERROR(VLOOKUP(C173,Tasas!$B$10:$F$200,N$8,TRUE)*N$9,0))))</f>
        <v/>
      </c>
      <c r="I173" s="60">
        <f t="shared" si="27"/>
        <v>0</v>
      </c>
      <c r="J173" s="58" t="str">
        <f t="shared" si="29"/>
        <v/>
      </c>
    </row>
    <row r="174" spans="2:10" x14ac:dyDescent="0.2">
      <c r="B174" s="56" t="str">
        <f t="shared" si="23"/>
        <v/>
      </c>
      <c r="C174" s="57" t="str">
        <f t="shared" si="28"/>
        <v/>
      </c>
      <c r="D174" s="57" t="str">
        <f t="shared" si="24"/>
        <v/>
      </c>
      <c r="E174" s="58">
        <f t="shared" si="25"/>
        <v>0</v>
      </c>
      <c r="F174" s="59" t="str">
        <f>IF(C174="","",IF(E$10&gt;=DATE(2019,11,22),E$21,IFERROR(VLOOKUP(C174,Tasas!$B$10:$F$200,4,TRUE),0)))</f>
        <v/>
      </c>
      <c r="G174" s="60">
        <f t="shared" si="26"/>
        <v>0</v>
      </c>
      <c r="H174" s="59" t="str">
        <f>IF(C174="","",IF(N$11,0.045,IF(E$10&gt;=DATE(2019,11,22),E$22,IFERROR(VLOOKUP(C174,Tasas!$B$10:$F$200,N$8,TRUE)*N$9,0))))</f>
        <v/>
      </c>
      <c r="I174" s="60">
        <f t="shared" si="27"/>
        <v>0</v>
      </c>
      <c r="J174" s="58" t="str">
        <f t="shared" si="29"/>
        <v/>
      </c>
    </row>
    <row r="175" spans="2:10" x14ac:dyDescent="0.2">
      <c r="B175" s="56" t="str">
        <f t="shared" si="23"/>
        <v/>
      </c>
      <c r="C175" s="57" t="str">
        <f t="shared" si="28"/>
        <v/>
      </c>
      <c r="D175" s="57" t="str">
        <f t="shared" si="24"/>
        <v/>
      </c>
      <c r="E175" s="58">
        <f t="shared" si="25"/>
        <v>0</v>
      </c>
      <c r="F175" s="59" t="str">
        <f>IF(C175="","",IF(E$10&gt;=DATE(2019,11,22),E$21,IFERROR(VLOOKUP(C175,Tasas!$B$10:$F$200,4,TRUE),0)))</f>
        <v/>
      </c>
      <c r="G175" s="60">
        <f t="shared" si="26"/>
        <v>0</v>
      </c>
      <c r="H175" s="59" t="str">
        <f>IF(C175="","",IF(N$11,0.045,IF(E$10&gt;=DATE(2019,11,22),E$22,IFERROR(VLOOKUP(C175,Tasas!$B$10:$F$200,N$8,TRUE)*N$9,0))))</f>
        <v/>
      </c>
      <c r="I175" s="60">
        <f t="shared" si="27"/>
        <v>0</v>
      </c>
      <c r="J175" s="58" t="str">
        <f t="shared" si="29"/>
        <v/>
      </c>
    </row>
    <row r="176" spans="2:10" x14ac:dyDescent="0.2">
      <c r="B176" s="56" t="str">
        <f t="shared" si="23"/>
        <v/>
      </c>
      <c r="C176" s="57" t="str">
        <f t="shared" si="28"/>
        <v/>
      </c>
      <c r="D176" s="57" t="str">
        <f t="shared" si="24"/>
        <v/>
      </c>
      <c r="E176" s="58">
        <f t="shared" si="25"/>
        <v>0</v>
      </c>
      <c r="F176" s="59" t="str">
        <f>IF(C176="","",IF(E$10&gt;=DATE(2019,11,22),E$21,IFERROR(VLOOKUP(C176,Tasas!$B$10:$F$200,4,TRUE),0)))</f>
        <v/>
      </c>
      <c r="G176" s="60">
        <f t="shared" si="26"/>
        <v>0</v>
      </c>
      <c r="H176" s="59" t="str">
        <f>IF(C176="","",IF(N$11,0.045,IF(E$10&gt;=DATE(2019,11,22),E$22,IFERROR(VLOOKUP(C176,Tasas!$B$10:$F$200,N$8,TRUE)*N$9,0))))</f>
        <v/>
      </c>
      <c r="I176" s="60">
        <f t="shared" si="27"/>
        <v>0</v>
      </c>
      <c r="J176" s="58" t="str">
        <f t="shared" si="29"/>
        <v/>
      </c>
    </row>
    <row r="177" spans="2:10" x14ac:dyDescent="0.2">
      <c r="B177" s="56" t="str">
        <f t="shared" si="23"/>
        <v/>
      </c>
      <c r="C177" s="57" t="str">
        <f t="shared" si="28"/>
        <v/>
      </c>
      <c r="D177" s="57" t="str">
        <f t="shared" si="24"/>
        <v/>
      </c>
      <c r="E177" s="58">
        <f t="shared" si="25"/>
        <v>0</v>
      </c>
      <c r="F177" s="59" t="str">
        <f>IF(C177="","",IF(E$10&gt;=DATE(2019,11,22),E$21,IFERROR(VLOOKUP(C177,Tasas!$B$10:$F$200,4,TRUE),0)))</f>
        <v/>
      </c>
      <c r="G177" s="60">
        <f t="shared" si="26"/>
        <v>0</v>
      </c>
      <c r="H177" s="59" t="str">
        <f>IF(C177="","",IF(N$11,0.045,IF(E$10&gt;=DATE(2019,11,22),E$22,IFERROR(VLOOKUP(C177,Tasas!$B$10:$F$200,N$8,TRUE)*N$9,0))))</f>
        <v/>
      </c>
      <c r="I177" s="60">
        <f t="shared" si="27"/>
        <v>0</v>
      </c>
      <c r="J177" s="58" t="str">
        <f t="shared" si="29"/>
        <v/>
      </c>
    </row>
    <row r="178" spans="2:10" x14ac:dyDescent="0.2">
      <c r="B178" s="56" t="str">
        <f t="shared" si="23"/>
        <v/>
      </c>
      <c r="C178" s="57" t="str">
        <f t="shared" si="28"/>
        <v/>
      </c>
      <c r="D178" s="57" t="str">
        <f t="shared" si="24"/>
        <v/>
      </c>
      <c r="E178" s="58">
        <f t="shared" si="25"/>
        <v>0</v>
      </c>
      <c r="F178" s="59" t="str">
        <f>IF(C178="","",IF(E$10&gt;=DATE(2019,11,22),E$21,IFERROR(VLOOKUP(C178,Tasas!$B$10:$F$200,4,TRUE),0)))</f>
        <v/>
      </c>
      <c r="G178" s="60">
        <f t="shared" si="26"/>
        <v>0</v>
      </c>
      <c r="H178" s="59" t="str">
        <f>IF(C178="","",IF(N$11,0.045,IF(E$10&gt;=DATE(2019,11,22),E$22,IFERROR(VLOOKUP(C178,Tasas!$B$10:$F$200,N$8,TRUE)*N$9,0))))</f>
        <v/>
      </c>
      <c r="I178" s="60">
        <f t="shared" si="27"/>
        <v>0</v>
      </c>
      <c r="J178" s="58" t="str">
        <f t="shared" si="29"/>
        <v/>
      </c>
    </row>
    <row r="179" spans="2:10" x14ac:dyDescent="0.2">
      <c r="B179" s="56" t="str">
        <f t="shared" si="23"/>
        <v/>
      </c>
      <c r="C179" s="57" t="str">
        <f t="shared" si="28"/>
        <v/>
      </c>
      <c r="D179" s="57" t="str">
        <f t="shared" si="24"/>
        <v/>
      </c>
      <c r="E179" s="58">
        <f t="shared" si="25"/>
        <v>0</v>
      </c>
      <c r="F179" s="59" t="str">
        <f>IF(C179="","",IF(E$10&gt;=DATE(2019,11,22),E$21,IFERROR(VLOOKUP(C179,Tasas!$B$10:$F$200,4,TRUE),0)))</f>
        <v/>
      </c>
      <c r="G179" s="60">
        <f t="shared" si="26"/>
        <v>0</v>
      </c>
      <c r="H179" s="59" t="str">
        <f>IF(C179="","",IF(N$11,0.045,IF(E$10&gt;=DATE(2019,11,22),E$22,IFERROR(VLOOKUP(C179,Tasas!$B$10:$F$200,N$8,TRUE)*N$9,0))))</f>
        <v/>
      </c>
      <c r="I179" s="60">
        <f t="shared" si="27"/>
        <v>0</v>
      </c>
      <c r="J179" s="58" t="str">
        <f t="shared" si="29"/>
        <v/>
      </c>
    </row>
    <row r="180" spans="2:10" x14ac:dyDescent="0.2">
      <c r="B180" s="56" t="str">
        <f t="shared" si="23"/>
        <v/>
      </c>
      <c r="C180" s="57" t="str">
        <f t="shared" si="28"/>
        <v/>
      </c>
      <c r="D180" s="57" t="str">
        <f t="shared" si="24"/>
        <v/>
      </c>
      <c r="E180" s="58">
        <f t="shared" si="25"/>
        <v>0</v>
      </c>
      <c r="F180" s="59" t="str">
        <f>IF(C180="","",IF(E$10&gt;=DATE(2019,11,22),E$21,IFERROR(VLOOKUP(C180,Tasas!$B$10:$F$200,4,TRUE),0)))</f>
        <v/>
      </c>
      <c r="G180" s="60">
        <f t="shared" si="26"/>
        <v>0</v>
      </c>
      <c r="H180" s="59" t="str">
        <f>IF(C180="","",IF(N$11,0.045,IF(E$10&gt;=DATE(2019,11,22),E$22,IFERROR(VLOOKUP(C180,Tasas!$B$10:$F$200,N$8,TRUE)*N$9,0))))</f>
        <v/>
      </c>
      <c r="I180" s="60">
        <f t="shared" si="27"/>
        <v>0</v>
      </c>
      <c r="J180" s="58" t="str">
        <f t="shared" si="29"/>
        <v/>
      </c>
    </row>
    <row r="181" spans="2:10" x14ac:dyDescent="0.2">
      <c r="B181" s="56" t="str">
        <f t="shared" si="23"/>
        <v/>
      </c>
      <c r="C181" s="57" t="str">
        <f t="shared" si="28"/>
        <v/>
      </c>
      <c r="D181" s="57" t="str">
        <f t="shared" si="24"/>
        <v/>
      </c>
      <c r="E181" s="58">
        <f t="shared" si="25"/>
        <v>0</v>
      </c>
      <c r="F181" s="59" t="str">
        <f>IF(C181="","",IF(E$10&gt;=DATE(2019,11,22),E$21,IFERROR(VLOOKUP(C181,Tasas!$B$10:$F$200,4,TRUE),0)))</f>
        <v/>
      </c>
      <c r="G181" s="60">
        <f t="shared" si="26"/>
        <v>0</v>
      </c>
      <c r="H181" s="59" t="str">
        <f>IF(C181="","",IF(N$11,0.045,IF(E$10&gt;=DATE(2019,11,22),E$22,IFERROR(VLOOKUP(C181,Tasas!$B$10:$F$200,N$8,TRUE)*N$9,0))))</f>
        <v/>
      </c>
      <c r="I181" s="60">
        <f t="shared" si="27"/>
        <v>0</v>
      </c>
      <c r="J181" s="58" t="str">
        <f t="shared" si="29"/>
        <v/>
      </c>
    </row>
    <row r="182" spans="2:10" x14ac:dyDescent="0.2">
      <c r="B182" s="56" t="str">
        <f t="shared" si="23"/>
        <v/>
      </c>
      <c r="C182" s="57" t="str">
        <f t="shared" si="28"/>
        <v/>
      </c>
      <c r="D182" s="57" t="str">
        <f t="shared" si="24"/>
        <v/>
      </c>
      <c r="E182" s="58">
        <f t="shared" si="25"/>
        <v>0</v>
      </c>
      <c r="F182" s="59" t="str">
        <f>IF(C182="","",IF(E$10&gt;=DATE(2019,11,22),E$21,IFERROR(VLOOKUP(C182,Tasas!$B$10:$F$200,4,TRUE),0)))</f>
        <v/>
      </c>
      <c r="G182" s="60">
        <f t="shared" si="26"/>
        <v>0</v>
      </c>
      <c r="H182" s="59" t="str">
        <f>IF(C182="","",IF(N$11,0.045,IF(E$10&gt;=DATE(2019,11,22),E$22,IFERROR(VLOOKUP(C182,Tasas!$B$10:$F$200,N$8,TRUE)*N$9,0))))</f>
        <v/>
      </c>
      <c r="I182" s="60">
        <f t="shared" si="27"/>
        <v>0</v>
      </c>
      <c r="J182" s="58" t="str">
        <f t="shared" si="29"/>
        <v/>
      </c>
    </row>
    <row r="183" spans="2:10" x14ac:dyDescent="0.2">
      <c r="B183" s="56" t="str">
        <f t="shared" si="23"/>
        <v/>
      </c>
      <c r="C183" s="57" t="str">
        <f t="shared" si="28"/>
        <v/>
      </c>
      <c r="D183" s="57" t="str">
        <f t="shared" si="24"/>
        <v/>
      </c>
      <c r="E183" s="58">
        <f t="shared" si="25"/>
        <v>0</v>
      </c>
      <c r="F183" s="59" t="str">
        <f>IF(C183="","",IF(E$10&gt;=DATE(2019,11,22),E$21,IFERROR(VLOOKUP(C183,Tasas!$B$10:$F$200,4,TRUE),0)))</f>
        <v/>
      </c>
      <c r="G183" s="60">
        <f t="shared" si="26"/>
        <v>0</v>
      </c>
      <c r="H183" s="59" t="str">
        <f>IF(C183="","",IF(N$11,0.045,IF(E$10&gt;=DATE(2019,11,22),E$22,IFERROR(VLOOKUP(C183,Tasas!$B$10:$F$200,N$8,TRUE)*N$9,0))))</f>
        <v/>
      </c>
      <c r="I183" s="60">
        <f t="shared" si="27"/>
        <v>0</v>
      </c>
      <c r="J183" s="58" t="str">
        <f t="shared" si="29"/>
        <v/>
      </c>
    </row>
    <row r="184" spans="2:10" x14ac:dyDescent="0.2">
      <c r="B184" s="56" t="str">
        <f t="shared" si="23"/>
        <v/>
      </c>
      <c r="C184" s="57" t="str">
        <f t="shared" si="28"/>
        <v/>
      </c>
      <c r="D184" s="57" t="str">
        <f t="shared" si="24"/>
        <v/>
      </c>
      <c r="E184" s="58">
        <f t="shared" si="25"/>
        <v>0</v>
      </c>
      <c r="F184" s="59" t="str">
        <f>IF(C184="","",IF(E$10&gt;=DATE(2019,11,22),E$21,IFERROR(VLOOKUP(C184,Tasas!$B$10:$F$200,4,TRUE),0)))</f>
        <v/>
      </c>
      <c r="G184" s="60">
        <f t="shared" si="26"/>
        <v>0</v>
      </c>
      <c r="H184" s="59" t="str">
        <f>IF(C184="","",IF(N$11,0.045,IF(E$10&gt;=DATE(2019,11,22),E$22,IFERROR(VLOOKUP(C184,Tasas!$B$10:$F$200,N$8,TRUE)*N$9,0))))</f>
        <v/>
      </c>
      <c r="I184" s="60">
        <f t="shared" si="27"/>
        <v>0</v>
      </c>
      <c r="J184" s="58" t="str">
        <f t="shared" si="29"/>
        <v/>
      </c>
    </row>
    <row r="185" spans="2:10" x14ac:dyDescent="0.2">
      <c r="B185" s="56" t="str">
        <f t="shared" si="23"/>
        <v/>
      </c>
      <c r="C185" s="57" t="str">
        <f t="shared" si="28"/>
        <v/>
      </c>
      <c r="D185" s="57" t="str">
        <f t="shared" si="24"/>
        <v/>
      </c>
      <c r="E185" s="58">
        <f t="shared" si="25"/>
        <v>0</v>
      </c>
      <c r="F185" s="59" t="str">
        <f>IF(C185="","",IF(E$10&gt;=DATE(2019,11,22),E$21,IFERROR(VLOOKUP(C185,Tasas!$B$10:$F$200,4,TRUE),0)))</f>
        <v/>
      </c>
      <c r="G185" s="60">
        <f t="shared" si="26"/>
        <v>0</v>
      </c>
      <c r="H185" s="59" t="str">
        <f>IF(C185="","",IF(N$11,0.045,IF(E$10&gt;=DATE(2019,11,22),E$22,IFERROR(VLOOKUP(C185,Tasas!$B$10:$F$200,N$8,TRUE)*N$9,0))))</f>
        <v/>
      </c>
      <c r="I185" s="60">
        <f t="shared" si="27"/>
        <v>0</v>
      </c>
      <c r="J185" s="58" t="str">
        <f t="shared" si="29"/>
        <v/>
      </c>
    </row>
    <row r="186" spans="2:10" x14ac:dyDescent="0.2">
      <c r="B186" s="56" t="str">
        <f t="shared" si="23"/>
        <v/>
      </c>
      <c r="C186" s="57" t="str">
        <f t="shared" si="28"/>
        <v/>
      </c>
      <c r="D186" s="57" t="str">
        <f t="shared" si="24"/>
        <v/>
      </c>
      <c r="E186" s="58">
        <f t="shared" si="25"/>
        <v>0</v>
      </c>
      <c r="F186" s="59" t="str">
        <f>IF(C186="","",IF(E$10&gt;=DATE(2019,11,22),E$21,IFERROR(VLOOKUP(C186,Tasas!$B$10:$F$200,4,TRUE),0)))</f>
        <v/>
      </c>
      <c r="G186" s="60">
        <f t="shared" si="26"/>
        <v>0</v>
      </c>
      <c r="H186" s="59" t="str">
        <f>IF(C186="","",IF(N$11,0.045,IF(E$10&gt;=DATE(2019,11,22),E$22,IFERROR(VLOOKUP(C186,Tasas!$B$10:$F$200,N$8,TRUE)*N$9,0))))</f>
        <v/>
      </c>
      <c r="I186" s="60">
        <f t="shared" si="27"/>
        <v>0</v>
      </c>
      <c r="J186" s="58" t="str">
        <f t="shared" si="29"/>
        <v/>
      </c>
    </row>
    <row r="187" spans="2:10" x14ac:dyDescent="0.2">
      <c r="B187" s="56" t="str">
        <f t="shared" si="23"/>
        <v/>
      </c>
      <c r="C187" s="57" t="str">
        <f t="shared" si="28"/>
        <v/>
      </c>
      <c r="D187" s="57" t="str">
        <f t="shared" si="24"/>
        <v/>
      </c>
      <c r="E187" s="58">
        <f t="shared" si="25"/>
        <v>0</v>
      </c>
      <c r="F187" s="59" t="str">
        <f>IF(C187="","",IF(E$10&gt;=DATE(2019,11,22),E$21,IFERROR(VLOOKUP(C187,Tasas!$B$10:$F$200,4,TRUE),0)))</f>
        <v/>
      </c>
      <c r="G187" s="60">
        <f t="shared" si="26"/>
        <v>0</v>
      </c>
      <c r="H187" s="59" t="str">
        <f>IF(C187="","",IF(N$11,0.045,IF(E$10&gt;=DATE(2019,11,22),E$22,IFERROR(VLOOKUP(C187,Tasas!$B$10:$F$200,N$8,TRUE)*N$9,0))))</f>
        <v/>
      </c>
      <c r="I187" s="60">
        <f t="shared" si="27"/>
        <v>0</v>
      </c>
      <c r="J187" s="58" t="str">
        <f t="shared" si="29"/>
        <v/>
      </c>
    </row>
    <row r="188" spans="2:10" x14ac:dyDescent="0.2">
      <c r="B188" s="56" t="str">
        <f t="shared" si="23"/>
        <v/>
      </c>
      <c r="C188" s="57" t="str">
        <f t="shared" si="28"/>
        <v/>
      </c>
      <c r="D188" s="57" t="str">
        <f t="shared" si="24"/>
        <v/>
      </c>
      <c r="E188" s="58">
        <f t="shared" si="25"/>
        <v>0</v>
      </c>
      <c r="F188" s="59" t="str">
        <f>IF(C188="","",IF(E$10&gt;=DATE(2019,11,22),E$21,IFERROR(VLOOKUP(C188,Tasas!$B$10:$F$200,4,TRUE),0)))</f>
        <v/>
      </c>
      <c r="G188" s="60">
        <f t="shared" si="26"/>
        <v>0</v>
      </c>
      <c r="H188" s="59" t="str">
        <f>IF(C188="","",IF(N$11,0.045,IF(E$10&gt;=DATE(2019,11,22),E$22,IFERROR(VLOOKUP(C188,Tasas!$B$10:$F$200,N$8,TRUE)*N$9,0))))</f>
        <v/>
      </c>
      <c r="I188" s="60">
        <f t="shared" si="27"/>
        <v>0</v>
      </c>
      <c r="J188" s="58" t="str">
        <f t="shared" si="29"/>
        <v/>
      </c>
    </row>
    <row r="189" spans="2:10" x14ac:dyDescent="0.2">
      <c r="B189" s="56" t="str">
        <f t="shared" si="23"/>
        <v/>
      </c>
      <c r="C189" s="57" t="str">
        <f t="shared" si="28"/>
        <v/>
      </c>
      <c r="D189" s="57" t="str">
        <f t="shared" si="24"/>
        <v/>
      </c>
      <c r="E189" s="58">
        <f t="shared" si="25"/>
        <v>0</v>
      </c>
      <c r="F189" s="59" t="str">
        <f>IF(C189="","",IF(E$10&gt;=DATE(2019,11,22),E$21,IFERROR(VLOOKUP(C189,Tasas!$B$10:$F$200,4,TRUE),0)))</f>
        <v/>
      </c>
      <c r="G189" s="60">
        <f t="shared" si="26"/>
        <v>0</v>
      </c>
      <c r="H189" s="59" t="str">
        <f>IF(C189="","",IF(N$11,0.045,IF(E$10&gt;=DATE(2019,11,22),E$22,IFERROR(VLOOKUP(C189,Tasas!$B$10:$F$200,N$8,TRUE)*N$9,0))))</f>
        <v/>
      </c>
      <c r="I189" s="60">
        <f t="shared" si="27"/>
        <v>0</v>
      </c>
      <c r="J189" s="58" t="str">
        <f t="shared" si="29"/>
        <v/>
      </c>
    </row>
    <row r="190" spans="2:10" x14ac:dyDescent="0.2">
      <c r="B190" s="56" t="str">
        <f t="shared" ref="B190:B221" si="30">IF(C190="","",PROPER(TEXT(C190,"MMMM YYYY")))</f>
        <v/>
      </c>
      <c r="C190" s="57" t="str">
        <f t="shared" si="28"/>
        <v/>
      </c>
      <c r="D190" s="57" t="str">
        <f t="shared" ref="D190:D221" si="31">IF(C190="","",MIN(E$10,EOMONTH(C190,0)))</f>
        <v/>
      </c>
      <c r="E190" s="58">
        <f t="shared" ref="E190:E221" si="32">IF(C190="",0,D190-C190+1)</f>
        <v>0</v>
      </c>
      <c r="F190" s="59" t="str">
        <f>IF(C190="","",IF(E$10&gt;=DATE(2019,11,22),E$21,IFERROR(VLOOKUP(C190,Tasas!$B$10:$F$200,4,TRUE),0)))</f>
        <v/>
      </c>
      <c r="G190" s="60">
        <f t="shared" ref="G190:G221" si="33">IF(C190="",0,ROUND(E$8*F190/365*E190,2))</f>
        <v>0</v>
      </c>
      <c r="H190" s="59" t="str">
        <f>IF(C190="","",IF(N$11,0.045,IF(E$10&gt;=DATE(2019,11,22),E$22,IFERROR(VLOOKUP(C190,Tasas!$B$10:$F$200,N$8,TRUE)*N$9,0))))</f>
        <v/>
      </c>
      <c r="I190" s="60">
        <f t="shared" ref="I190:I221" si="34">IF(C190="",0,ROUND(E$8*H190/365*E190,2))</f>
        <v>0</v>
      </c>
      <c r="J190" s="58" t="str">
        <f t="shared" si="29"/>
        <v/>
      </c>
    </row>
    <row r="191" spans="2:10" x14ac:dyDescent="0.2">
      <c r="B191" s="56" t="str">
        <f t="shared" si="30"/>
        <v/>
      </c>
      <c r="C191" s="57" t="str">
        <f t="shared" ref="C191:C211" si="35">IF(OR(C190="",D190="",D190&gt;=E$10),"",D190+1)</f>
        <v/>
      </c>
      <c r="D191" s="57" t="str">
        <f t="shared" si="31"/>
        <v/>
      </c>
      <c r="E191" s="58">
        <f t="shared" si="32"/>
        <v>0</v>
      </c>
      <c r="F191" s="59" t="str">
        <f>IF(C191="","",IF(E$10&gt;=DATE(2019,11,22),E$21,IFERROR(VLOOKUP(C191,Tasas!$B$10:$F$200,4,TRUE),0)))</f>
        <v/>
      </c>
      <c r="G191" s="60">
        <f t="shared" si="33"/>
        <v>0</v>
      </c>
      <c r="H191" s="59" t="str">
        <f>IF(C191="","",IF(N$11,0.045,IF(E$10&gt;=DATE(2019,11,22),E$22,IFERROR(VLOOKUP(C191,Tasas!$B$10:$F$200,N$8,TRUE)*N$9,0))))</f>
        <v/>
      </c>
      <c r="I191" s="60">
        <f t="shared" si="34"/>
        <v>0</v>
      </c>
      <c r="J191" s="58" t="str">
        <f t="shared" ref="J191:J211" si="36">IF(C191="","",IF(ISNUMBER(J190),J190+G191,G191))</f>
        <v/>
      </c>
    </row>
    <row r="192" spans="2:10" x14ac:dyDescent="0.2">
      <c r="B192" s="56" t="str">
        <f t="shared" si="30"/>
        <v/>
      </c>
      <c r="C192" s="57" t="str">
        <f t="shared" si="35"/>
        <v/>
      </c>
      <c r="D192" s="57" t="str">
        <f t="shared" si="31"/>
        <v/>
      </c>
      <c r="E192" s="58">
        <f t="shared" si="32"/>
        <v>0</v>
      </c>
      <c r="F192" s="59" t="str">
        <f>IF(C192="","",IF(E$10&gt;=DATE(2019,11,22),E$21,IFERROR(VLOOKUP(C192,Tasas!$B$10:$F$200,4,TRUE),0)))</f>
        <v/>
      </c>
      <c r="G192" s="60">
        <f t="shared" si="33"/>
        <v>0</v>
      </c>
      <c r="H192" s="59" t="str">
        <f>IF(C192="","",IF(N$11,0.045,IF(E$10&gt;=DATE(2019,11,22),E$22,IFERROR(VLOOKUP(C192,Tasas!$B$10:$F$200,N$8,TRUE)*N$9,0))))</f>
        <v/>
      </c>
      <c r="I192" s="60">
        <f t="shared" si="34"/>
        <v>0</v>
      </c>
      <c r="J192" s="58" t="str">
        <f t="shared" si="36"/>
        <v/>
      </c>
    </row>
    <row r="193" spans="2:10" x14ac:dyDescent="0.2">
      <c r="B193" s="56" t="str">
        <f t="shared" si="30"/>
        <v/>
      </c>
      <c r="C193" s="57" t="str">
        <f t="shared" si="35"/>
        <v/>
      </c>
      <c r="D193" s="57" t="str">
        <f t="shared" si="31"/>
        <v/>
      </c>
      <c r="E193" s="58">
        <f t="shared" si="32"/>
        <v>0</v>
      </c>
      <c r="F193" s="59" t="str">
        <f>IF(C193="","",IF(E$10&gt;=DATE(2019,11,22),E$21,IFERROR(VLOOKUP(C193,Tasas!$B$10:$F$200,4,TRUE),0)))</f>
        <v/>
      </c>
      <c r="G193" s="60">
        <f t="shared" si="33"/>
        <v>0</v>
      </c>
      <c r="H193" s="59" t="str">
        <f>IF(C193="","",IF(N$11,0.045,IF(E$10&gt;=DATE(2019,11,22),E$22,IFERROR(VLOOKUP(C193,Tasas!$B$10:$F$200,N$8,TRUE)*N$9,0))))</f>
        <v/>
      </c>
      <c r="I193" s="60">
        <f t="shared" si="34"/>
        <v>0</v>
      </c>
      <c r="J193" s="58" t="str">
        <f t="shared" si="36"/>
        <v/>
      </c>
    </row>
    <row r="194" spans="2:10" x14ac:dyDescent="0.2">
      <c r="B194" s="56" t="str">
        <f t="shared" si="30"/>
        <v/>
      </c>
      <c r="C194" s="57" t="str">
        <f t="shared" si="35"/>
        <v/>
      </c>
      <c r="D194" s="57" t="str">
        <f t="shared" si="31"/>
        <v/>
      </c>
      <c r="E194" s="58">
        <f t="shared" si="32"/>
        <v>0</v>
      </c>
      <c r="F194" s="59" t="str">
        <f>IF(C194="","",IF(E$10&gt;=DATE(2019,11,22),E$21,IFERROR(VLOOKUP(C194,Tasas!$B$10:$F$200,4,TRUE),0)))</f>
        <v/>
      </c>
      <c r="G194" s="60">
        <f t="shared" si="33"/>
        <v>0</v>
      </c>
      <c r="H194" s="59" t="str">
        <f>IF(C194="","",IF(N$11,0.045,IF(E$10&gt;=DATE(2019,11,22),E$22,IFERROR(VLOOKUP(C194,Tasas!$B$10:$F$200,N$8,TRUE)*N$9,0))))</f>
        <v/>
      </c>
      <c r="I194" s="60">
        <f t="shared" si="34"/>
        <v>0</v>
      </c>
      <c r="J194" s="58" t="str">
        <f t="shared" si="36"/>
        <v/>
      </c>
    </row>
    <row r="195" spans="2:10" x14ac:dyDescent="0.2">
      <c r="B195" s="56" t="str">
        <f t="shared" si="30"/>
        <v/>
      </c>
      <c r="C195" s="57" t="str">
        <f t="shared" si="35"/>
        <v/>
      </c>
      <c r="D195" s="57" t="str">
        <f t="shared" si="31"/>
        <v/>
      </c>
      <c r="E195" s="58">
        <f t="shared" si="32"/>
        <v>0</v>
      </c>
      <c r="F195" s="59" t="str">
        <f>IF(C195="","",IF(E$10&gt;=DATE(2019,11,22),E$21,IFERROR(VLOOKUP(C195,Tasas!$B$10:$F$200,4,TRUE),0)))</f>
        <v/>
      </c>
      <c r="G195" s="60">
        <f t="shared" si="33"/>
        <v>0</v>
      </c>
      <c r="H195" s="59" t="str">
        <f>IF(C195="","",IF(N$11,0.045,IF(E$10&gt;=DATE(2019,11,22),E$22,IFERROR(VLOOKUP(C195,Tasas!$B$10:$F$200,N$8,TRUE)*N$9,0))))</f>
        <v/>
      </c>
      <c r="I195" s="60">
        <f t="shared" si="34"/>
        <v>0</v>
      </c>
      <c r="J195" s="58" t="str">
        <f t="shared" si="36"/>
        <v/>
      </c>
    </row>
    <row r="196" spans="2:10" x14ac:dyDescent="0.2">
      <c r="B196" s="56" t="str">
        <f t="shared" si="30"/>
        <v/>
      </c>
      <c r="C196" s="57" t="str">
        <f t="shared" si="35"/>
        <v/>
      </c>
      <c r="D196" s="57" t="str">
        <f t="shared" si="31"/>
        <v/>
      </c>
      <c r="E196" s="58">
        <f t="shared" si="32"/>
        <v>0</v>
      </c>
      <c r="F196" s="59" t="str">
        <f>IF(C196="","",IF(E$10&gt;=DATE(2019,11,22),E$21,IFERROR(VLOOKUP(C196,Tasas!$B$10:$F$200,4,TRUE),0)))</f>
        <v/>
      </c>
      <c r="G196" s="60">
        <f t="shared" si="33"/>
        <v>0</v>
      </c>
      <c r="H196" s="59" t="str">
        <f>IF(C196="","",IF(N$11,0.045,IF(E$10&gt;=DATE(2019,11,22),E$22,IFERROR(VLOOKUP(C196,Tasas!$B$10:$F$200,N$8,TRUE)*N$9,0))))</f>
        <v/>
      </c>
      <c r="I196" s="60">
        <f t="shared" si="34"/>
        <v>0</v>
      </c>
      <c r="J196" s="58" t="str">
        <f t="shared" si="36"/>
        <v/>
      </c>
    </row>
    <row r="197" spans="2:10" x14ac:dyDescent="0.2">
      <c r="B197" s="56" t="str">
        <f t="shared" si="30"/>
        <v/>
      </c>
      <c r="C197" s="57" t="str">
        <f t="shared" si="35"/>
        <v/>
      </c>
      <c r="D197" s="57" t="str">
        <f t="shared" si="31"/>
        <v/>
      </c>
      <c r="E197" s="58">
        <f t="shared" si="32"/>
        <v>0</v>
      </c>
      <c r="F197" s="59" t="str">
        <f>IF(C197="","",IF(E$10&gt;=DATE(2019,11,22),E$21,IFERROR(VLOOKUP(C197,Tasas!$B$10:$F$200,4,TRUE),0)))</f>
        <v/>
      </c>
      <c r="G197" s="60">
        <f t="shared" si="33"/>
        <v>0</v>
      </c>
      <c r="H197" s="59" t="str">
        <f>IF(C197="","",IF(N$11,0.045,IF(E$10&gt;=DATE(2019,11,22),E$22,IFERROR(VLOOKUP(C197,Tasas!$B$10:$F$200,N$8,TRUE)*N$9,0))))</f>
        <v/>
      </c>
      <c r="I197" s="60">
        <f t="shared" si="34"/>
        <v>0</v>
      </c>
      <c r="J197" s="58" t="str">
        <f t="shared" si="36"/>
        <v/>
      </c>
    </row>
    <row r="198" spans="2:10" x14ac:dyDescent="0.2">
      <c r="B198" s="56" t="str">
        <f t="shared" si="30"/>
        <v/>
      </c>
      <c r="C198" s="57" t="str">
        <f t="shared" si="35"/>
        <v/>
      </c>
      <c r="D198" s="57" t="str">
        <f t="shared" si="31"/>
        <v/>
      </c>
      <c r="E198" s="58">
        <f t="shared" si="32"/>
        <v>0</v>
      </c>
      <c r="F198" s="59" t="str">
        <f>IF(C198="","",IF(E$10&gt;=DATE(2019,11,22),E$21,IFERROR(VLOOKUP(C198,Tasas!$B$10:$F$200,4,TRUE),0)))</f>
        <v/>
      </c>
      <c r="G198" s="60">
        <f t="shared" si="33"/>
        <v>0</v>
      </c>
      <c r="H198" s="59" t="str">
        <f>IF(C198="","",IF(N$11,0.045,IF(E$10&gt;=DATE(2019,11,22),E$22,IFERROR(VLOOKUP(C198,Tasas!$B$10:$F$200,N$8,TRUE)*N$9,0))))</f>
        <v/>
      </c>
      <c r="I198" s="60">
        <f t="shared" si="34"/>
        <v>0</v>
      </c>
      <c r="J198" s="58" t="str">
        <f t="shared" si="36"/>
        <v/>
      </c>
    </row>
    <row r="199" spans="2:10" x14ac:dyDescent="0.2">
      <c r="B199" s="56" t="str">
        <f t="shared" si="30"/>
        <v/>
      </c>
      <c r="C199" s="57" t="str">
        <f t="shared" si="35"/>
        <v/>
      </c>
      <c r="D199" s="57" t="str">
        <f t="shared" si="31"/>
        <v/>
      </c>
      <c r="E199" s="58">
        <f t="shared" si="32"/>
        <v>0</v>
      </c>
      <c r="F199" s="59" t="str">
        <f>IF(C199="","",IF(E$10&gt;=DATE(2019,11,22),E$21,IFERROR(VLOOKUP(C199,Tasas!$B$10:$F$200,4,TRUE),0)))</f>
        <v/>
      </c>
      <c r="G199" s="60">
        <f t="shared" si="33"/>
        <v>0</v>
      </c>
      <c r="H199" s="59" t="str">
        <f>IF(C199="","",IF(N$11,0.045,IF(E$10&gt;=DATE(2019,11,22),E$22,IFERROR(VLOOKUP(C199,Tasas!$B$10:$F$200,N$8,TRUE)*N$9,0))))</f>
        <v/>
      </c>
      <c r="I199" s="60">
        <f t="shared" si="34"/>
        <v>0</v>
      </c>
      <c r="J199" s="58" t="str">
        <f t="shared" si="36"/>
        <v/>
      </c>
    </row>
    <row r="200" spans="2:10" x14ac:dyDescent="0.2">
      <c r="B200" s="56" t="str">
        <f t="shared" si="30"/>
        <v/>
      </c>
      <c r="C200" s="57" t="str">
        <f t="shared" si="35"/>
        <v/>
      </c>
      <c r="D200" s="57" t="str">
        <f t="shared" si="31"/>
        <v/>
      </c>
      <c r="E200" s="58">
        <f t="shared" si="32"/>
        <v>0</v>
      </c>
      <c r="F200" s="59" t="str">
        <f>IF(C200="","",IF(E$10&gt;=DATE(2019,11,22),E$21,IFERROR(VLOOKUP(C200,Tasas!$B$10:$F$200,4,TRUE),0)))</f>
        <v/>
      </c>
      <c r="G200" s="60">
        <f t="shared" si="33"/>
        <v>0</v>
      </c>
      <c r="H200" s="59" t="str">
        <f>IF(C200="","",IF(N$11,0.045,IF(E$10&gt;=DATE(2019,11,22),E$22,IFERROR(VLOOKUP(C200,Tasas!$B$10:$F$200,N$8,TRUE)*N$9,0))))</f>
        <v/>
      </c>
      <c r="I200" s="60">
        <f t="shared" si="34"/>
        <v>0</v>
      </c>
      <c r="J200" s="58" t="str">
        <f t="shared" si="36"/>
        <v/>
      </c>
    </row>
    <row r="201" spans="2:10" x14ac:dyDescent="0.2">
      <c r="B201" s="56" t="str">
        <f t="shared" si="30"/>
        <v/>
      </c>
      <c r="C201" s="57" t="str">
        <f t="shared" si="35"/>
        <v/>
      </c>
      <c r="D201" s="57" t="str">
        <f t="shared" si="31"/>
        <v/>
      </c>
      <c r="E201" s="58">
        <f t="shared" si="32"/>
        <v>0</v>
      </c>
      <c r="F201" s="59" t="str">
        <f>IF(C201="","",IF(E$10&gt;=DATE(2019,11,22),E$21,IFERROR(VLOOKUP(C201,Tasas!$B$10:$F$200,4,TRUE),0)))</f>
        <v/>
      </c>
      <c r="G201" s="60">
        <f t="shared" si="33"/>
        <v>0</v>
      </c>
      <c r="H201" s="59" t="str">
        <f>IF(C201="","",IF(N$11,0.045,IF(E$10&gt;=DATE(2019,11,22),E$22,IFERROR(VLOOKUP(C201,Tasas!$B$10:$F$200,N$8,TRUE)*N$9,0))))</f>
        <v/>
      </c>
      <c r="I201" s="60">
        <f t="shared" si="34"/>
        <v>0</v>
      </c>
      <c r="J201" s="58" t="str">
        <f t="shared" si="36"/>
        <v/>
      </c>
    </row>
    <row r="202" spans="2:10" x14ac:dyDescent="0.2">
      <c r="B202" s="56" t="str">
        <f t="shared" si="30"/>
        <v/>
      </c>
      <c r="C202" s="57" t="str">
        <f t="shared" si="35"/>
        <v/>
      </c>
      <c r="D202" s="57" t="str">
        <f t="shared" si="31"/>
        <v/>
      </c>
      <c r="E202" s="58">
        <f t="shared" si="32"/>
        <v>0</v>
      </c>
      <c r="F202" s="59" t="str">
        <f>IF(C202="","",IF(E$10&gt;=DATE(2019,11,22),E$21,IFERROR(VLOOKUP(C202,Tasas!$B$10:$F$200,4,TRUE),0)))</f>
        <v/>
      </c>
      <c r="G202" s="60">
        <f t="shared" si="33"/>
        <v>0</v>
      </c>
      <c r="H202" s="59" t="str">
        <f>IF(C202="","",IF(N$11,0.045,IF(E$10&gt;=DATE(2019,11,22),E$22,IFERROR(VLOOKUP(C202,Tasas!$B$10:$F$200,N$8,TRUE)*N$9,0))))</f>
        <v/>
      </c>
      <c r="I202" s="60">
        <f t="shared" si="34"/>
        <v>0</v>
      </c>
      <c r="J202" s="58" t="str">
        <f t="shared" si="36"/>
        <v/>
      </c>
    </row>
    <row r="203" spans="2:10" x14ac:dyDescent="0.2">
      <c r="B203" s="56" t="str">
        <f t="shared" si="30"/>
        <v/>
      </c>
      <c r="C203" s="57" t="str">
        <f t="shared" si="35"/>
        <v/>
      </c>
      <c r="D203" s="57" t="str">
        <f t="shared" si="31"/>
        <v/>
      </c>
      <c r="E203" s="58">
        <f t="shared" si="32"/>
        <v>0</v>
      </c>
      <c r="F203" s="59" t="str">
        <f>IF(C203="","",IF(E$10&gt;=DATE(2019,11,22),E$21,IFERROR(VLOOKUP(C203,Tasas!$B$10:$F$200,4,TRUE),0)))</f>
        <v/>
      </c>
      <c r="G203" s="60">
        <f t="shared" si="33"/>
        <v>0</v>
      </c>
      <c r="H203" s="59" t="str">
        <f>IF(C203="","",IF(N$11,0.045,IF(E$10&gt;=DATE(2019,11,22),E$22,IFERROR(VLOOKUP(C203,Tasas!$B$10:$F$200,N$8,TRUE)*N$9,0))))</f>
        <v/>
      </c>
      <c r="I203" s="60">
        <f t="shared" si="34"/>
        <v>0</v>
      </c>
      <c r="J203" s="58" t="str">
        <f t="shared" si="36"/>
        <v/>
      </c>
    </row>
    <row r="204" spans="2:10" x14ac:dyDescent="0.2">
      <c r="B204" s="56" t="str">
        <f t="shared" si="30"/>
        <v/>
      </c>
      <c r="C204" s="57" t="str">
        <f t="shared" si="35"/>
        <v/>
      </c>
      <c r="D204" s="57" t="str">
        <f t="shared" si="31"/>
        <v/>
      </c>
      <c r="E204" s="58">
        <f t="shared" si="32"/>
        <v>0</v>
      </c>
      <c r="F204" s="59" t="str">
        <f>IF(C204="","",IF(E$10&gt;=DATE(2019,11,22),E$21,IFERROR(VLOOKUP(C204,Tasas!$B$10:$F$200,4,TRUE),0)))</f>
        <v/>
      </c>
      <c r="G204" s="60">
        <f t="shared" si="33"/>
        <v>0</v>
      </c>
      <c r="H204" s="59" t="str">
        <f>IF(C204="","",IF(N$11,0.045,IF(E$10&gt;=DATE(2019,11,22),E$22,IFERROR(VLOOKUP(C204,Tasas!$B$10:$F$200,N$8,TRUE)*N$9,0))))</f>
        <v/>
      </c>
      <c r="I204" s="60">
        <f t="shared" si="34"/>
        <v>0</v>
      </c>
      <c r="J204" s="58" t="str">
        <f t="shared" si="36"/>
        <v/>
      </c>
    </row>
    <row r="205" spans="2:10" x14ac:dyDescent="0.2">
      <c r="B205" s="56" t="str">
        <f t="shared" si="30"/>
        <v/>
      </c>
      <c r="C205" s="57" t="str">
        <f t="shared" si="35"/>
        <v/>
      </c>
      <c r="D205" s="57" t="str">
        <f t="shared" si="31"/>
        <v/>
      </c>
      <c r="E205" s="58">
        <f t="shared" si="32"/>
        <v>0</v>
      </c>
      <c r="F205" s="59" t="str">
        <f>IF(C205="","",IF(E$10&gt;=DATE(2019,11,22),E$21,IFERROR(VLOOKUP(C205,Tasas!$B$10:$F$200,4,TRUE),0)))</f>
        <v/>
      </c>
      <c r="G205" s="60">
        <f t="shared" si="33"/>
        <v>0</v>
      </c>
      <c r="H205" s="59" t="str">
        <f>IF(C205="","",IF(N$11,0.045,IF(E$10&gt;=DATE(2019,11,22),E$22,IFERROR(VLOOKUP(C205,Tasas!$B$10:$F$200,N$8,TRUE)*N$9,0))))</f>
        <v/>
      </c>
      <c r="I205" s="60">
        <f t="shared" si="34"/>
        <v>0</v>
      </c>
      <c r="J205" s="58" t="str">
        <f t="shared" si="36"/>
        <v/>
      </c>
    </row>
    <row r="206" spans="2:10" x14ac:dyDescent="0.2">
      <c r="B206" s="56" t="str">
        <f t="shared" si="30"/>
        <v/>
      </c>
      <c r="C206" s="57" t="str">
        <f t="shared" si="35"/>
        <v/>
      </c>
      <c r="D206" s="57" t="str">
        <f t="shared" si="31"/>
        <v/>
      </c>
      <c r="E206" s="58">
        <f t="shared" si="32"/>
        <v>0</v>
      </c>
      <c r="F206" s="59" t="str">
        <f>IF(C206="","",IF(E$10&gt;=DATE(2019,11,22),E$21,IFERROR(VLOOKUP(C206,Tasas!$B$10:$F$200,4,TRUE),0)))</f>
        <v/>
      </c>
      <c r="G206" s="60">
        <f t="shared" si="33"/>
        <v>0</v>
      </c>
      <c r="H206" s="59" t="str">
        <f>IF(C206="","",IF(N$11,0.045,IF(E$10&gt;=DATE(2019,11,22),E$22,IFERROR(VLOOKUP(C206,Tasas!$B$10:$F$200,N$8,TRUE)*N$9,0))))</f>
        <v/>
      </c>
      <c r="I206" s="60">
        <f t="shared" si="34"/>
        <v>0</v>
      </c>
      <c r="J206" s="58" t="str">
        <f t="shared" si="36"/>
        <v/>
      </c>
    </row>
    <row r="207" spans="2:10" x14ac:dyDescent="0.2">
      <c r="B207" s="56" t="str">
        <f t="shared" si="30"/>
        <v/>
      </c>
      <c r="C207" s="57" t="str">
        <f t="shared" si="35"/>
        <v/>
      </c>
      <c r="D207" s="57" t="str">
        <f t="shared" si="31"/>
        <v/>
      </c>
      <c r="E207" s="58">
        <f t="shared" si="32"/>
        <v>0</v>
      </c>
      <c r="F207" s="59" t="str">
        <f>IF(C207="","",IF(E$10&gt;=DATE(2019,11,22),E$21,IFERROR(VLOOKUP(C207,Tasas!$B$10:$F$200,4,TRUE),0)))</f>
        <v/>
      </c>
      <c r="G207" s="60">
        <f t="shared" si="33"/>
        <v>0</v>
      </c>
      <c r="H207" s="59" t="str">
        <f>IF(C207="","",IF(N$11,0.045,IF(E$10&gt;=DATE(2019,11,22),E$22,IFERROR(VLOOKUP(C207,Tasas!$B$10:$F$200,N$8,TRUE)*N$9,0))))</f>
        <v/>
      </c>
      <c r="I207" s="60">
        <f t="shared" si="34"/>
        <v>0</v>
      </c>
      <c r="J207" s="58" t="str">
        <f t="shared" si="36"/>
        <v/>
      </c>
    </row>
    <row r="208" spans="2:10" x14ac:dyDescent="0.2">
      <c r="B208" s="56" t="str">
        <f t="shared" si="30"/>
        <v/>
      </c>
      <c r="C208" s="57" t="str">
        <f t="shared" si="35"/>
        <v/>
      </c>
      <c r="D208" s="57" t="str">
        <f t="shared" si="31"/>
        <v/>
      </c>
      <c r="E208" s="58">
        <f t="shared" si="32"/>
        <v>0</v>
      </c>
      <c r="F208" s="59" t="str">
        <f>IF(C208="","",IF(E$10&gt;=DATE(2019,11,22),E$21,IFERROR(VLOOKUP(C208,Tasas!$B$10:$F$200,4,TRUE),0)))</f>
        <v/>
      </c>
      <c r="G208" s="60">
        <f t="shared" si="33"/>
        <v>0</v>
      </c>
      <c r="H208" s="59" t="str">
        <f>IF(C208="","",IF(N$11,0.045,IF(E$10&gt;=DATE(2019,11,22),E$22,IFERROR(VLOOKUP(C208,Tasas!$B$10:$F$200,N$8,TRUE)*N$9,0))))</f>
        <v/>
      </c>
      <c r="I208" s="60">
        <f t="shared" si="34"/>
        <v>0</v>
      </c>
      <c r="J208" s="58" t="str">
        <f t="shared" si="36"/>
        <v/>
      </c>
    </row>
    <row r="209" spans="2:10" x14ac:dyDescent="0.2">
      <c r="B209" s="56" t="str">
        <f t="shared" si="30"/>
        <v/>
      </c>
      <c r="C209" s="57" t="str">
        <f t="shared" si="35"/>
        <v/>
      </c>
      <c r="D209" s="57" t="str">
        <f t="shared" si="31"/>
        <v/>
      </c>
      <c r="E209" s="58">
        <f t="shared" si="32"/>
        <v>0</v>
      </c>
      <c r="F209" s="59" t="str">
        <f>IF(C209="","",IF(E$10&gt;=DATE(2019,11,22),E$21,IFERROR(VLOOKUP(C209,Tasas!$B$10:$F$200,4,TRUE),0)))</f>
        <v/>
      </c>
      <c r="G209" s="60">
        <f t="shared" si="33"/>
        <v>0</v>
      </c>
      <c r="H209" s="59" t="str">
        <f>IF(C209="","",IF(N$11,0.045,IF(E$10&gt;=DATE(2019,11,22),E$22,IFERROR(VLOOKUP(C209,Tasas!$B$10:$F$200,N$8,TRUE)*N$9,0))))</f>
        <v/>
      </c>
      <c r="I209" s="60">
        <f t="shared" si="34"/>
        <v>0</v>
      </c>
      <c r="J209" s="58" t="str">
        <f t="shared" si="36"/>
        <v/>
      </c>
    </row>
    <row r="210" spans="2:10" x14ac:dyDescent="0.2">
      <c r="B210" s="56" t="str">
        <f t="shared" si="30"/>
        <v/>
      </c>
      <c r="C210" s="57" t="str">
        <f t="shared" si="35"/>
        <v/>
      </c>
      <c r="D210" s="57" t="str">
        <f t="shared" si="31"/>
        <v/>
      </c>
      <c r="E210" s="58">
        <f t="shared" si="32"/>
        <v>0</v>
      </c>
      <c r="F210" s="59" t="str">
        <f>IF(C210="","",IF(E$10&gt;=DATE(2019,11,22),E$21,IFERROR(VLOOKUP(C210,Tasas!$B$10:$F$200,4,TRUE),0)))</f>
        <v/>
      </c>
      <c r="G210" s="60">
        <f t="shared" si="33"/>
        <v>0</v>
      </c>
      <c r="H210" s="59" t="str">
        <f>IF(C210="","",IF(N$11,0.045,IF(E$10&gt;=DATE(2019,11,22),E$22,IFERROR(VLOOKUP(C210,Tasas!$B$10:$F$200,N$8,TRUE)*N$9,0))))</f>
        <v/>
      </c>
      <c r="I210" s="60">
        <f t="shared" si="34"/>
        <v>0</v>
      </c>
      <c r="J210" s="58" t="str">
        <f t="shared" si="36"/>
        <v/>
      </c>
    </row>
    <row r="211" spans="2:10" x14ac:dyDescent="0.2">
      <c r="B211" s="56" t="str">
        <f t="shared" si="30"/>
        <v/>
      </c>
      <c r="C211" s="57" t="str">
        <f t="shared" si="35"/>
        <v/>
      </c>
      <c r="D211" s="57" t="str">
        <f t="shared" si="31"/>
        <v/>
      </c>
      <c r="E211" s="58">
        <f t="shared" si="32"/>
        <v>0</v>
      </c>
      <c r="F211" s="59" t="str">
        <f>IF(C211="","",IF(E$10&gt;=DATE(2019,11,22),E$21,IFERROR(VLOOKUP(C211,Tasas!$B$10:$F$200,4,TRUE),0)))</f>
        <v/>
      </c>
      <c r="G211" s="60">
        <f t="shared" si="33"/>
        <v>0</v>
      </c>
      <c r="H211" s="59" t="str">
        <f>IF(C211="","",IF(N$11,0.045,IF(E$10&gt;=DATE(2019,11,22),E$22,IFERROR(VLOOKUP(C211,Tasas!$B$10:$F$200,N$8,TRUE)*N$9,0))))</f>
        <v/>
      </c>
      <c r="I211" s="60">
        <f t="shared" si="34"/>
        <v>0</v>
      </c>
      <c r="J211" s="58" t="str">
        <f t="shared" si="36"/>
        <v/>
      </c>
    </row>
  </sheetData>
  <sheetProtection password="CEF4" sheet="1" objects="1" scenarios="1" formatCells="0" formatColumns="0" formatRows="0" sort="0" autoFilter="0"/>
  <mergeCells count="10">
    <mergeCell ref="B57:J57"/>
    <mergeCell ref="B13:G13"/>
    <mergeCell ref="E9:F9"/>
    <mergeCell ref="E8:F8"/>
    <mergeCell ref="C34:D34"/>
    <mergeCell ref="E20:F20"/>
    <mergeCell ref="E15:F15"/>
    <mergeCell ref="E10:F10"/>
    <mergeCell ref="B36:G36"/>
    <mergeCell ref="E19:F19"/>
  </mergeCells>
  <conditionalFormatting sqref="B41:E41">
    <cfRule type="expression" dxfId="16" priority="1">
      <formula>$C$41=0</formula>
    </cfRule>
  </conditionalFormatting>
  <conditionalFormatting sqref="B42:E42">
    <cfRule type="expression" dxfId="15" priority="2">
      <formula>$C$42=0</formula>
    </cfRule>
  </conditionalFormatting>
  <conditionalFormatting sqref="B43:E43">
    <cfRule type="expression" dxfId="14" priority="3">
      <formula>$C$43=0</formula>
    </cfRule>
  </conditionalFormatting>
  <conditionalFormatting sqref="B44:E44">
    <cfRule type="expression" dxfId="13" priority="4">
      <formula>$C$44=0</formula>
    </cfRule>
  </conditionalFormatting>
  <conditionalFormatting sqref="B45:E45">
    <cfRule type="expression" dxfId="12" priority="5">
      <formula>$C$45=0</formula>
    </cfRule>
  </conditionalFormatting>
  <conditionalFormatting sqref="B46:E46">
    <cfRule type="expression" dxfId="11" priority="6">
      <formula>$C$46=0</formula>
    </cfRule>
  </conditionalFormatting>
  <conditionalFormatting sqref="B47:E47">
    <cfRule type="expression" dxfId="10" priority="7">
      <formula>$C$47=0</formula>
    </cfRule>
  </conditionalFormatting>
  <conditionalFormatting sqref="B48:E48">
    <cfRule type="expression" dxfId="9" priority="8">
      <formula>$C$48=0</formula>
    </cfRule>
  </conditionalFormatting>
  <conditionalFormatting sqref="B49:E49">
    <cfRule type="expression" dxfId="8" priority="9">
      <formula>$C$49=0</formula>
    </cfRule>
  </conditionalFormatting>
  <conditionalFormatting sqref="B50:E50">
    <cfRule type="expression" dxfId="7" priority="10">
      <formula>$C$50=0</formula>
    </cfRule>
  </conditionalFormatting>
  <conditionalFormatting sqref="B51:E51">
    <cfRule type="expression" dxfId="6" priority="11">
      <formula>$C$51=0</formula>
    </cfRule>
  </conditionalFormatting>
  <conditionalFormatting sqref="B52:E52">
    <cfRule type="expression" dxfId="5" priority="12">
      <formula>$C$52=0</formula>
    </cfRule>
  </conditionalFormatting>
  <conditionalFormatting sqref="B53:E53">
    <cfRule type="expression" dxfId="4" priority="13">
      <formula>$C$53=0</formula>
    </cfRule>
  </conditionalFormatting>
  <conditionalFormatting sqref="B54:E54">
    <cfRule type="expression" dxfId="3" priority="14">
      <formula>$C$54=0</formula>
    </cfRule>
  </conditionalFormatting>
  <conditionalFormatting sqref="B55:E55">
    <cfRule type="expression" dxfId="2" priority="15">
      <formula>$C$55=0</formula>
    </cfRule>
  </conditionalFormatting>
  <conditionalFormatting sqref="B56:E56">
    <cfRule type="expression" dxfId="1" priority="16">
      <formula>$C$56=0</formula>
    </cfRule>
  </conditionalFormatting>
  <conditionalFormatting sqref="B15:G15">
    <cfRule type="expression" dxfId="0" priority="17">
      <formula>AND($E$9&lt;=DATE(2025,12,31),$E$10&lt;=DATE(2026,4,30),$E$14="Sí")</formula>
    </cfRule>
  </conditionalFormatting>
  <dataValidations count="4">
    <dataValidation type="list" allowBlank="1" sqref="E14" xr:uid="{00000000-0002-0000-0600-000000000000}">
      <formula1>"Sí,No"</formula1>
    </dataValidation>
    <dataValidation type="custom" showInputMessage="1" showErrorMessage="1" errorTitle="Valor no válido" error="El valor debe ser mayor a $0 y múltiplo de $1.000." promptTitle="Valor de la obligación" prompt="Capital adeudado en pesos, redondeado al millar más cercano." sqref="E8" xr:uid="{00000000-0002-0000-0600-000002000000}">
      <formula1>AND(ISNUMBER(E8),E8&gt;0,MOD(E8,1000)=0)</formula1>
    </dataValidation>
    <dataValidation type="date" showInputMessage="1" showErrorMessage="1" errorTitle="Fecha no válida" error="Ingrese una fecha válida entre 01/01/2007 y 31/12/2030." promptTitle="Fecha de vencimiento" prompt="Fecha límite original de pago según el calendario tributario DIAN." sqref="E9" xr:uid="{00000000-0002-0000-0600-000003000000}">
      <formula1>DATE(2007,1,1)</formula1>
      <formula2>DATE(2030,12,31)</formula2>
    </dataValidation>
    <dataValidation type="custom" showInputMessage="1" showErrorMessage="1" errorTitle="Fecha no válida" error="La fecha de pago debe ser posterior a la fecha de vencimiento (E9)." promptTitle="Fecha de pago" prompt="Fecha en que va a pagar. Debe ser posterior al vencimiento." sqref="E10" xr:uid="{00000000-0002-0000-0600-000004000000}">
      <formula1>AND(ISNUMBER(E10),E10&gt;E9)</formula1>
    </dataValidation>
  </dataValidations>
  <hyperlinks>
    <hyperlink ref="B1" r:id="rId1" xr:uid="{00000000-0004-0000-0600-000000000000}"/>
    <hyperlink ref="I1" r:id="rId2" xr:uid="{00000000-0004-0000-0600-000001000000}"/>
    <hyperlink ref="G32" r:id="rId3" xr:uid="{00000000-0004-0000-0600-000002000000}"/>
    <hyperlink ref="B57" r:id="rId4" xr:uid="{00000000-0004-0000-0600-000003000000}"/>
  </hyperlinks>
  <pageMargins left="0.4" right="0.4" top="0.5" bottom="0.6" header="0.2" footer="0.3"/>
  <pageSetup fitToHeight="0" orientation="landscape"/>
  <headerFooter>
    <oddHeader>&amp;C&amp;"Calibri,Bold"&amp;9 &amp;K0A1628Cálculo de Intereses Moratorios</oddHeader>
    <oddFooter>&amp;L&amp;"Calibri"&amp;7 &amp;K6B7280tribai.co | INPLUX S.A.S.&amp;C&amp;"Calibri"&amp;7 &amp;P de &amp;N&amp;R&amp;"Calibri"&amp;7 &amp;K6B7280&amp;D</oddFooter>
  </headerFooter>
  <extLst>
    <ext xmlns:x14="http://schemas.microsoft.com/office/spreadsheetml/2009/9/main" uri="{CCE6A557-97BC-4b89-ADB6-D9C93CAAB3DF}">
      <x14:dataValidations xmlns:xm="http://schemas.microsoft.com/office/excel/2006/main" count="1">
        <x14:dataValidation type="list" xr:uid="{00000000-0002-0000-0600-000001000000}">
          <x14:formula1>
            <xm:f>Datos!$J$2:$J$5</xm:f>
          </x14:formula1>
          <xm:sqref>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B7280"/>
    <pageSetUpPr fitToPage="1"/>
  </sheetPr>
  <dimension ref="A1:G168"/>
  <sheetViews>
    <sheetView workbookViewId="0">
      <pane xSplit="1" ySplit="9" topLeftCell="B68" activePane="bottomRight" state="frozen"/>
      <selection pane="topRight"/>
      <selection pane="bottomLeft"/>
      <selection pane="bottomRight" activeCell="I30" sqref="I30"/>
    </sheetView>
  </sheetViews>
  <sheetFormatPr baseColWidth="10" defaultColWidth="8.83203125" defaultRowHeight="15" x14ac:dyDescent="0.2"/>
  <cols>
    <col min="2" max="3" width="14" customWidth="1"/>
    <col min="4" max="4" width="5" customWidth="1"/>
    <col min="5" max="5" width="24" customWidth="1"/>
    <col min="6" max="6" width="28" customWidth="1"/>
    <col min="7" max="7" width="30" customWidth="1"/>
  </cols>
  <sheetData>
    <row r="1" spans="1:6" ht="28" customHeight="1" x14ac:dyDescent="0.2">
      <c r="A1" s="1"/>
      <c r="B1" s="2" t="s">
        <v>0</v>
      </c>
      <c r="C1" s="1"/>
      <c r="D1" s="1"/>
      <c r="E1" s="3" t="s">
        <v>1</v>
      </c>
      <c r="F1" s="1"/>
    </row>
    <row r="2" spans="1:6" ht="18" customHeight="1" x14ac:dyDescent="0.2">
      <c r="A2" s="1"/>
      <c r="B2" s="4" t="s">
        <v>2</v>
      </c>
      <c r="C2" s="1"/>
      <c r="D2" s="1"/>
      <c r="E2" s="5" t="s">
        <v>3</v>
      </c>
      <c r="F2" s="1"/>
    </row>
    <row r="3" spans="1:6" ht="21" x14ac:dyDescent="0.25">
      <c r="B3" s="7" t="s">
        <v>277</v>
      </c>
    </row>
    <row r="5" spans="1:6" ht="16" x14ac:dyDescent="0.2">
      <c r="B5" s="9" t="s">
        <v>278</v>
      </c>
      <c r="C5" s="10"/>
      <c r="D5" s="10"/>
      <c r="E5" s="10"/>
      <c r="F5" s="10"/>
    </row>
    <row r="6" spans="1:6" ht="35" customHeight="1" x14ac:dyDescent="0.2">
      <c r="B6" s="67" t="s">
        <v>279</v>
      </c>
      <c r="C6" s="68"/>
      <c r="D6" s="68"/>
      <c r="E6" s="68"/>
      <c r="F6" s="68"/>
    </row>
    <row r="7" spans="1:6" ht="60" customHeight="1" x14ac:dyDescent="0.2">
      <c r="B7" s="87" t="s">
        <v>280</v>
      </c>
      <c r="C7" s="68"/>
      <c r="D7" s="68"/>
      <c r="E7" s="68"/>
      <c r="F7" s="68"/>
    </row>
    <row r="9" spans="1:6" x14ac:dyDescent="0.2">
      <c r="B9" s="11" t="s">
        <v>269</v>
      </c>
      <c r="C9" s="11" t="s">
        <v>270</v>
      </c>
      <c r="D9" s="11" t="s">
        <v>281</v>
      </c>
      <c r="E9" s="11" t="s">
        <v>282</v>
      </c>
      <c r="F9" s="11" t="s">
        <v>283</v>
      </c>
    </row>
    <row r="10" spans="1:6" x14ac:dyDescent="0.2">
      <c r="B10" s="61">
        <v>1</v>
      </c>
      <c r="C10" s="61">
        <v>38926</v>
      </c>
      <c r="D10" s="26">
        <v>1</v>
      </c>
      <c r="E10" s="62">
        <v>0.20630000000000001</v>
      </c>
      <c r="F10" s="62"/>
    </row>
    <row r="11" spans="1:6" x14ac:dyDescent="0.2">
      <c r="B11" s="61">
        <v>38927</v>
      </c>
      <c r="C11" s="61">
        <v>38929</v>
      </c>
      <c r="D11" s="26">
        <v>2</v>
      </c>
      <c r="E11" s="62">
        <v>0.22620000000000001</v>
      </c>
      <c r="F11" s="62"/>
    </row>
    <row r="12" spans="1:6" x14ac:dyDescent="0.2">
      <c r="B12" s="61">
        <v>38930</v>
      </c>
      <c r="C12" s="61">
        <v>38960</v>
      </c>
      <c r="D12" s="26">
        <v>3</v>
      </c>
      <c r="E12" s="62">
        <v>0.2253</v>
      </c>
      <c r="F12" s="62"/>
    </row>
    <row r="13" spans="1:6" x14ac:dyDescent="0.2">
      <c r="B13" s="61">
        <v>38961</v>
      </c>
      <c r="C13" s="61">
        <v>38990</v>
      </c>
      <c r="D13" s="26">
        <v>4</v>
      </c>
      <c r="E13" s="62">
        <v>0.2258</v>
      </c>
      <c r="F13" s="62"/>
    </row>
    <row r="14" spans="1:6" x14ac:dyDescent="0.2">
      <c r="B14" s="61">
        <v>38991</v>
      </c>
      <c r="C14" s="61">
        <v>39082</v>
      </c>
      <c r="D14" s="26">
        <v>5</v>
      </c>
      <c r="E14" s="62">
        <v>0.2261</v>
      </c>
      <c r="F14" s="62"/>
    </row>
    <row r="15" spans="1:6" x14ac:dyDescent="0.2">
      <c r="B15" s="61">
        <v>39083</v>
      </c>
      <c r="C15" s="61">
        <v>39138</v>
      </c>
      <c r="D15" s="26">
        <v>6</v>
      </c>
      <c r="E15" s="62">
        <v>0.32090000000000002</v>
      </c>
      <c r="F15" s="62"/>
    </row>
    <row r="16" spans="1:6" x14ac:dyDescent="0.2">
      <c r="B16" s="61">
        <v>39139</v>
      </c>
      <c r="C16" s="61">
        <v>39172</v>
      </c>
      <c r="D16" s="26">
        <v>7</v>
      </c>
      <c r="E16" s="62">
        <v>0.20749999999999999</v>
      </c>
      <c r="F16" s="62"/>
    </row>
    <row r="17" spans="2:6" x14ac:dyDescent="0.2">
      <c r="B17" s="61">
        <v>39173</v>
      </c>
      <c r="C17" s="61">
        <v>39263</v>
      </c>
      <c r="D17" s="26">
        <v>8</v>
      </c>
      <c r="E17" s="62">
        <v>0.25119999999999998</v>
      </c>
      <c r="F17" s="62"/>
    </row>
    <row r="18" spans="2:6" x14ac:dyDescent="0.2">
      <c r="B18" s="61">
        <v>39264</v>
      </c>
      <c r="C18" s="61">
        <v>39355</v>
      </c>
      <c r="D18" s="26">
        <v>9</v>
      </c>
      <c r="E18" s="62">
        <v>0.28510000000000002</v>
      </c>
      <c r="F18" s="62"/>
    </row>
    <row r="19" spans="2:6" x14ac:dyDescent="0.2">
      <c r="B19" s="61">
        <v>39356</v>
      </c>
      <c r="C19" s="61">
        <v>39447</v>
      </c>
      <c r="D19" s="26">
        <v>10</v>
      </c>
      <c r="E19" s="62">
        <v>0.31890000000000002</v>
      </c>
      <c r="F19" s="62"/>
    </row>
    <row r="20" spans="2:6" x14ac:dyDescent="0.2">
      <c r="B20" s="61">
        <v>39448</v>
      </c>
      <c r="C20" s="61">
        <v>39538</v>
      </c>
      <c r="D20" s="26">
        <v>11</v>
      </c>
      <c r="E20" s="62">
        <v>0.32750000000000001</v>
      </c>
      <c r="F20" s="62"/>
    </row>
    <row r="21" spans="2:6" x14ac:dyDescent="0.2">
      <c r="B21" s="61">
        <v>39539</v>
      </c>
      <c r="C21" s="61">
        <v>39629</v>
      </c>
      <c r="D21" s="26">
        <v>12</v>
      </c>
      <c r="E21" s="62">
        <v>0.32879999999999998</v>
      </c>
      <c r="F21" s="62"/>
    </row>
    <row r="22" spans="2:6" x14ac:dyDescent="0.2">
      <c r="B22" s="61">
        <v>39630</v>
      </c>
      <c r="C22" s="61">
        <v>39721</v>
      </c>
      <c r="D22" s="26">
        <v>13</v>
      </c>
      <c r="E22" s="62">
        <v>0.32269999999999999</v>
      </c>
      <c r="F22" s="62"/>
    </row>
    <row r="23" spans="2:6" x14ac:dyDescent="0.2">
      <c r="B23" s="61">
        <v>39722</v>
      </c>
      <c r="C23" s="61">
        <v>39813</v>
      </c>
      <c r="D23" s="26">
        <v>14</v>
      </c>
      <c r="E23" s="62">
        <v>0.31530000000000002</v>
      </c>
      <c r="F23" s="62"/>
    </row>
    <row r="24" spans="2:6" x14ac:dyDescent="0.2">
      <c r="B24" s="61">
        <v>39814</v>
      </c>
      <c r="C24" s="61">
        <v>39903</v>
      </c>
      <c r="D24" s="26">
        <v>15</v>
      </c>
      <c r="E24" s="62">
        <v>0.30709999999999998</v>
      </c>
      <c r="F24" s="62"/>
    </row>
    <row r="25" spans="2:6" x14ac:dyDescent="0.2">
      <c r="B25" s="61">
        <v>39904</v>
      </c>
      <c r="C25" s="61">
        <v>39994</v>
      </c>
      <c r="D25" s="26">
        <v>16</v>
      </c>
      <c r="E25" s="62">
        <v>0.30420000000000003</v>
      </c>
      <c r="F25" s="62"/>
    </row>
    <row r="26" spans="2:6" x14ac:dyDescent="0.2">
      <c r="B26" s="61">
        <v>39995</v>
      </c>
      <c r="C26" s="61">
        <v>40086</v>
      </c>
      <c r="D26" s="26">
        <v>17</v>
      </c>
      <c r="E26" s="62">
        <v>0.27979999999999999</v>
      </c>
      <c r="F26" s="62"/>
    </row>
    <row r="27" spans="2:6" x14ac:dyDescent="0.2">
      <c r="B27" s="61">
        <v>40087</v>
      </c>
      <c r="C27" s="61">
        <v>40178</v>
      </c>
      <c r="D27" s="26">
        <v>18</v>
      </c>
      <c r="E27" s="62">
        <v>0.25919999999999999</v>
      </c>
      <c r="F27" s="62"/>
    </row>
    <row r="28" spans="2:6" x14ac:dyDescent="0.2">
      <c r="B28" s="61">
        <v>40179</v>
      </c>
      <c r="C28" s="61">
        <v>40268</v>
      </c>
      <c r="D28" s="26">
        <v>19</v>
      </c>
      <c r="E28" s="62">
        <v>0.24210000000000001</v>
      </c>
      <c r="F28" s="62"/>
    </row>
    <row r="29" spans="2:6" x14ac:dyDescent="0.2">
      <c r="B29" s="61">
        <v>40269</v>
      </c>
      <c r="C29" s="61">
        <v>40359</v>
      </c>
      <c r="D29" s="26">
        <v>20</v>
      </c>
      <c r="E29" s="62">
        <v>0.22969999999999999</v>
      </c>
      <c r="F29" s="62"/>
    </row>
    <row r="30" spans="2:6" x14ac:dyDescent="0.2">
      <c r="B30" s="61">
        <v>40360</v>
      </c>
      <c r="C30" s="61">
        <v>40451</v>
      </c>
      <c r="D30" s="26">
        <v>21</v>
      </c>
      <c r="E30" s="62">
        <v>0.22409999999999999</v>
      </c>
      <c r="F30" s="62"/>
    </row>
    <row r="31" spans="2:6" x14ac:dyDescent="0.2">
      <c r="B31" s="61">
        <v>40452</v>
      </c>
      <c r="C31" s="61">
        <v>40543</v>
      </c>
      <c r="D31" s="26">
        <v>22</v>
      </c>
      <c r="E31" s="62">
        <v>0.2132</v>
      </c>
      <c r="F31" s="62"/>
    </row>
    <row r="32" spans="2:6" x14ac:dyDescent="0.2">
      <c r="B32" s="61">
        <v>40544</v>
      </c>
      <c r="C32" s="61">
        <v>40633</v>
      </c>
      <c r="D32" s="26">
        <v>23</v>
      </c>
      <c r="E32" s="62">
        <v>0.23419999999999999</v>
      </c>
      <c r="F32" s="62"/>
    </row>
    <row r="33" spans="2:6" x14ac:dyDescent="0.2">
      <c r="B33" s="61">
        <v>40634</v>
      </c>
      <c r="C33" s="61">
        <v>40724</v>
      </c>
      <c r="D33" s="26">
        <v>24</v>
      </c>
      <c r="E33" s="62">
        <v>0.26540000000000002</v>
      </c>
      <c r="F33" s="62"/>
    </row>
    <row r="34" spans="2:6" x14ac:dyDescent="0.2">
      <c r="B34" s="61">
        <v>40725</v>
      </c>
      <c r="C34" s="61">
        <v>40816</v>
      </c>
      <c r="D34" s="26">
        <v>25</v>
      </c>
      <c r="E34" s="62">
        <v>0.27950000000000003</v>
      </c>
      <c r="F34" s="62"/>
    </row>
    <row r="35" spans="2:6" x14ac:dyDescent="0.2">
      <c r="B35" s="61">
        <v>40817</v>
      </c>
      <c r="C35" s="61">
        <v>40908</v>
      </c>
      <c r="D35" s="26">
        <v>26</v>
      </c>
      <c r="E35" s="62">
        <v>0.29089999999999999</v>
      </c>
      <c r="F35" s="62"/>
    </row>
    <row r="36" spans="2:6" x14ac:dyDescent="0.2">
      <c r="B36" s="61">
        <v>40909</v>
      </c>
      <c r="C36" s="61">
        <v>40999</v>
      </c>
      <c r="D36" s="26">
        <v>27</v>
      </c>
      <c r="E36" s="62">
        <v>0.29880000000000001</v>
      </c>
      <c r="F36" s="62"/>
    </row>
    <row r="37" spans="2:6" x14ac:dyDescent="0.2">
      <c r="B37" s="61">
        <v>41000</v>
      </c>
      <c r="C37" s="61">
        <v>41090</v>
      </c>
      <c r="D37" s="26">
        <v>28</v>
      </c>
      <c r="E37" s="62">
        <v>0.30780000000000002</v>
      </c>
      <c r="F37" s="62"/>
    </row>
    <row r="38" spans="2:6" x14ac:dyDescent="0.2">
      <c r="B38" s="61">
        <v>41091</v>
      </c>
      <c r="C38" s="61">
        <v>41182</v>
      </c>
      <c r="D38" s="26">
        <v>29</v>
      </c>
      <c r="E38" s="62">
        <v>0.31290000000000001</v>
      </c>
      <c r="F38" s="62"/>
    </row>
    <row r="39" spans="2:6" x14ac:dyDescent="0.2">
      <c r="B39" s="61">
        <v>41183</v>
      </c>
      <c r="C39" s="61">
        <v>41274</v>
      </c>
      <c r="D39" s="26">
        <v>30</v>
      </c>
      <c r="E39" s="62">
        <v>0.31340000000000001</v>
      </c>
      <c r="F39" s="62"/>
    </row>
    <row r="40" spans="2:6" x14ac:dyDescent="0.2">
      <c r="B40" s="61">
        <v>41275</v>
      </c>
      <c r="C40" s="61">
        <v>41364</v>
      </c>
      <c r="D40" s="26">
        <v>31</v>
      </c>
      <c r="E40" s="62">
        <v>0.31130000000000002</v>
      </c>
      <c r="F40" s="62"/>
    </row>
    <row r="41" spans="2:6" x14ac:dyDescent="0.2">
      <c r="B41" s="61">
        <v>41365</v>
      </c>
      <c r="C41" s="61">
        <v>41455</v>
      </c>
      <c r="D41" s="26">
        <v>32</v>
      </c>
      <c r="E41" s="62">
        <v>0.3125</v>
      </c>
      <c r="F41" s="62"/>
    </row>
    <row r="42" spans="2:6" x14ac:dyDescent="0.2">
      <c r="B42" s="61">
        <v>41456</v>
      </c>
      <c r="C42" s="61">
        <v>41547</v>
      </c>
      <c r="D42" s="26">
        <v>33</v>
      </c>
      <c r="E42" s="62">
        <v>0.30509999999999998</v>
      </c>
      <c r="F42" s="62"/>
    </row>
    <row r="43" spans="2:6" x14ac:dyDescent="0.2">
      <c r="B43" s="61">
        <v>41548</v>
      </c>
      <c r="C43" s="61">
        <v>41639</v>
      </c>
      <c r="D43" s="26">
        <v>34</v>
      </c>
      <c r="E43" s="62">
        <v>0.29780000000000001</v>
      </c>
      <c r="F43" s="62"/>
    </row>
    <row r="44" spans="2:6" x14ac:dyDescent="0.2">
      <c r="B44" s="61">
        <v>41640</v>
      </c>
      <c r="C44" s="61">
        <v>41729</v>
      </c>
      <c r="D44" s="26">
        <v>35</v>
      </c>
      <c r="E44" s="62">
        <v>0.29480000000000001</v>
      </c>
      <c r="F44" s="62"/>
    </row>
    <row r="45" spans="2:6" x14ac:dyDescent="0.2">
      <c r="B45" s="61">
        <v>41730</v>
      </c>
      <c r="C45" s="61">
        <v>41820</v>
      </c>
      <c r="D45" s="26">
        <v>36</v>
      </c>
      <c r="E45" s="62">
        <v>0.29449999999999998</v>
      </c>
      <c r="F45" s="62"/>
    </row>
    <row r="46" spans="2:6" x14ac:dyDescent="0.2">
      <c r="B46" s="61">
        <v>41821</v>
      </c>
      <c r="C46" s="61">
        <v>41912</v>
      </c>
      <c r="D46" s="26">
        <v>37</v>
      </c>
      <c r="E46" s="62">
        <v>0.28999999999999998</v>
      </c>
      <c r="F46" s="62"/>
    </row>
    <row r="47" spans="2:6" x14ac:dyDescent="0.2">
      <c r="B47" s="61">
        <v>41913</v>
      </c>
      <c r="C47" s="61">
        <v>42004</v>
      </c>
      <c r="D47" s="26">
        <v>38</v>
      </c>
      <c r="E47" s="62">
        <v>0.28760000000000002</v>
      </c>
      <c r="F47" s="62"/>
    </row>
    <row r="48" spans="2:6" x14ac:dyDescent="0.2">
      <c r="B48" s="61">
        <v>42005</v>
      </c>
      <c r="C48" s="61">
        <v>42094</v>
      </c>
      <c r="D48" s="26">
        <v>39</v>
      </c>
      <c r="E48" s="62">
        <v>0.28820000000000001</v>
      </c>
      <c r="F48" s="62"/>
    </row>
    <row r="49" spans="2:6" x14ac:dyDescent="0.2">
      <c r="B49" s="61">
        <v>42095</v>
      </c>
      <c r="C49" s="61">
        <v>42185</v>
      </c>
      <c r="D49" s="26">
        <v>40</v>
      </c>
      <c r="E49" s="62">
        <v>0.29060000000000002</v>
      </c>
      <c r="F49" s="62"/>
    </row>
    <row r="50" spans="2:6" x14ac:dyDescent="0.2">
      <c r="B50" s="61">
        <v>42186</v>
      </c>
      <c r="C50" s="61">
        <v>42277</v>
      </c>
      <c r="D50" s="26">
        <v>41</v>
      </c>
      <c r="E50" s="62">
        <v>0.28889999999999999</v>
      </c>
      <c r="F50" s="62"/>
    </row>
    <row r="51" spans="2:6" x14ac:dyDescent="0.2">
      <c r="B51" s="61">
        <v>42278</v>
      </c>
      <c r="C51" s="61">
        <v>42369</v>
      </c>
      <c r="D51" s="26">
        <v>42</v>
      </c>
      <c r="E51" s="62">
        <v>0.28999999999999998</v>
      </c>
      <c r="F51" s="62"/>
    </row>
    <row r="52" spans="2:6" x14ac:dyDescent="0.2">
      <c r="B52" s="61">
        <v>42370</v>
      </c>
      <c r="C52" s="61">
        <v>42460</v>
      </c>
      <c r="D52" s="26">
        <v>43</v>
      </c>
      <c r="E52" s="62">
        <v>0.29520000000000002</v>
      </c>
      <c r="F52" s="62"/>
    </row>
    <row r="53" spans="2:6" x14ac:dyDescent="0.2">
      <c r="B53" s="61">
        <v>42461</v>
      </c>
      <c r="C53" s="61">
        <v>42551</v>
      </c>
      <c r="D53" s="26">
        <v>44</v>
      </c>
      <c r="E53" s="62">
        <v>0.30809999999999998</v>
      </c>
      <c r="F53" s="62"/>
    </row>
    <row r="54" spans="2:6" x14ac:dyDescent="0.2">
      <c r="B54" s="61">
        <v>42552</v>
      </c>
      <c r="C54" s="61">
        <v>42643</v>
      </c>
      <c r="D54" s="26">
        <v>45</v>
      </c>
      <c r="E54" s="62">
        <v>0.3201</v>
      </c>
      <c r="F54" s="62"/>
    </row>
    <row r="55" spans="2:6" x14ac:dyDescent="0.2">
      <c r="B55" s="61">
        <v>42644</v>
      </c>
      <c r="C55" s="61">
        <v>42735</v>
      </c>
      <c r="D55" s="26">
        <v>46</v>
      </c>
      <c r="E55" s="62">
        <v>0.32990000000000003</v>
      </c>
      <c r="F55" s="62"/>
    </row>
    <row r="56" spans="2:6" x14ac:dyDescent="0.2">
      <c r="B56" s="61">
        <v>42736</v>
      </c>
      <c r="C56" s="61">
        <v>42825</v>
      </c>
      <c r="D56" s="26">
        <v>47</v>
      </c>
      <c r="E56" s="62">
        <v>0.31509999999999999</v>
      </c>
      <c r="F56" s="62"/>
    </row>
    <row r="57" spans="2:6" x14ac:dyDescent="0.2">
      <c r="B57" s="61">
        <v>42826</v>
      </c>
      <c r="C57" s="61">
        <v>42916</v>
      </c>
      <c r="D57" s="26">
        <v>48</v>
      </c>
      <c r="E57" s="62">
        <v>0.315</v>
      </c>
      <c r="F57" s="62"/>
    </row>
    <row r="58" spans="2:6" x14ac:dyDescent="0.2">
      <c r="B58" s="61">
        <v>42917</v>
      </c>
      <c r="C58" s="61">
        <v>42978</v>
      </c>
      <c r="D58" s="26">
        <v>49</v>
      </c>
      <c r="E58" s="62">
        <v>0.30969999999999998</v>
      </c>
      <c r="F58" s="62"/>
    </row>
    <row r="59" spans="2:6" x14ac:dyDescent="0.2">
      <c r="B59" s="61">
        <v>42979</v>
      </c>
      <c r="C59" s="61">
        <v>43008</v>
      </c>
      <c r="D59" s="26">
        <v>50</v>
      </c>
      <c r="E59" s="62">
        <v>0.30220000000000002</v>
      </c>
      <c r="F59" s="62"/>
    </row>
    <row r="60" spans="2:6" x14ac:dyDescent="0.2">
      <c r="B60" s="61">
        <v>43009</v>
      </c>
      <c r="C60" s="61">
        <v>43039</v>
      </c>
      <c r="D60" s="26">
        <v>51</v>
      </c>
      <c r="E60" s="62">
        <v>0.29730000000000001</v>
      </c>
      <c r="F60" s="62"/>
    </row>
    <row r="61" spans="2:6" x14ac:dyDescent="0.2">
      <c r="B61" s="61">
        <v>43040</v>
      </c>
      <c r="C61" s="61">
        <v>43069</v>
      </c>
      <c r="D61" s="26">
        <v>52</v>
      </c>
      <c r="E61" s="62">
        <v>0.2944</v>
      </c>
      <c r="F61" s="62"/>
    </row>
    <row r="62" spans="2:6" x14ac:dyDescent="0.2">
      <c r="B62" s="61">
        <v>43070</v>
      </c>
      <c r="C62" s="61">
        <v>43100</v>
      </c>
      <c r="D62" s="26">
        <v>53</v>
      </c>
      <c r="E62" s="62">
        <v>0.29160000000000003</v>
      </c>
      <c r="F62" s="62"/>
    </row>
    <row r="63" spans="2:6" x14ac:dyDescent="0.2">
      <c r="B63" s="61">
        <v>43101</v>
      </c>
      <c r="C63" s="61">
        <v>43131</v>
      </c>
      <c r="D63" s="26">
        <v>54</v>
      </c>
      <c r="E63" s="62">
        <v>0.29039999999999999</v>
      </c>
      <c r="F63" s="62"/>
    </row>
    <row r="64" spans="2:6" x14ac:dyDescent="0.2">
      <c r="B64" s="61">
        <v>43132</v>
      </c>
      <c r="C64" s="61">
        <v>43159</v>
      </c>
      <c r="D64" s="26">
        <v>55</v>
      </c>
      <c r="E64" s="62">
        <v>0.29520000000000002</v>
      </c>
      <c r="F64" s="62"/>
    </row>
    <row r="65" spans="2:6" x14ac:dyDescent="0.2">
      <c r="B65" s="61">
        <v>43160</v>
      </c>
      <c r="C65" s="61">
        <v>43190</v>
      </c>
      <c r="D65" s="26">
        <v>56</v>
      </c>
      <c r="E65" s="62">
        <v>0.29020000000000001</v>
      </c>
      <c r="F65" s="62"/>
    </row>
    <row r="66" spans="2:6" x14ac:dyDescent="0.2">
      <c r="B66" s="61">
        <v>43191</v>
      </c>
      <c r="C66" s="61">
        <v>43220</v>
      </c>
      <c r="D66" s="26">
        <v>57</v>
      </c>
      <c r="E66" s="62">
        <v>0.28720000000000001</v>
      </c>
      <c r="F66" s="62"/>
    </row>
    <row r="67" spans="2:6" x14ac:dyDescent="0.2">
      <c r="B67" s="61">
        <v>43221</v>
      </c>
      <c r="C67" s="61">
        <v>43251</v>
      </c>
      <c r="D67" s="26">
        <v>58</v>
      </c>
      <c r="E67" s="62">
        <v>0.28660000000000002</v>
      </c>
      <c r="F67" s="62"/>
    </row>
    <row r="68" spans="2:6" x14ac:dyDescent="0.2">
      <c r="B68" s="61">
        <v>43252</v>
      </c>
      <c r="C68" s="61">
        <v>43281</v>
      </c>
      <c r="D68" s="26">
        <v>59</v>
      </c>
      <c r="E68" s="62">
        <v>0.28420000000000001</v>
      </c>
      <c r="F68" s="62"/>
    </row>
    <row r="69" spans="2:6" x14ac:dyDescent="0.2">
      <c r="B69" s="61">
        <v>43282</v>
      </c>
      <c r="C69" s="61">
        <v>43312</v>
      </c>
      <c r="D69" s="26">
        <v>60</v>
      </c>
      <c r="E69" s="62">
        <v>0.28050000000000003</v>
      </c>
      <c r="F69" s="62"/>
    </row>
    <row r="70" spans="2:6" x14ac:dyDescent="0.2">
      <c r="B70" s="61">
        <v>43313</v>
      </c>
      <c r="C70" s="61">
        <v>43343</v>
      </c>
      <c r="D70" s="26">
        <v>61</v>
      </c>
      <c r="E70" s="62">
        <v>0.27910000000000001</v>
      </c>
      <c r="F70" s="62"/>
    </row>
    <row r="71" spans="2:6" x14ac:dyDescent="0.2">
      <c r="B71" s="61">
        <v>43344</v>
      </c>
      <c r="C71" s="61">
        <v>43373</v>
      </c>
      <c r="D71" s="26">
        <v>62</v>
      </c>
      <c r="E71" s="62">
        <v>0.2772</v>
      </c>
      <c r="F71" s="62"/>
    </row>
    <row r="72" spans="2:6" x14ac:dyDescent="0.2">
      <c r="B72" s="61">
        <v>43374</v>
      </c>
      <c r="C72" s="61">
        <v>43404</v>
      </c>
      <c r="D72" s="26">
        <v>63</v>
      </c>
      <c r="E72" s="62">
        <v>0.27450000000000002</v>
      </c>
      <c r="F72" s="62"/>
    </row>
    <row r="73" spans="2:6" x14ac:dyDescent="0.2">
      <c r="B73" s="61">
        <v>43405</v>
      </c>
      <c r="C73" s="61">
        <v>43434</v>
      </c>
      <c r="D73" s="26">
        <v>64</v>
      </c>
      <c r="E73" s="62">
        <v>0.27239999999999998</v>
      </c>
      <c r="F73" s="62"/>
    </row>
    <row r="74" spans="2:6" x14ac:dyDescent="0.2">
      <c r="B74" s="61">
        <v>43435</v>
      </c>
      <c r="C74" s="61">
        <v>43465</v>
      </c>
      <c r="D74" s="26">
        <v>65</v>
      </c>
      <c r="E74" s="62">
        <v>0.27100000000000002</v>
      </c>
      <c r="F74" s="62"/>
    </row>
    <row r="75" spans="2:6" x14ac:dyDescent="0.2">
      <c r="B75" s="61">
        <v>43466</v>
      </c>
      <c r="C75" s="61">
        <v>43496</v>
      </c>
      <c r="D75" s="26">
        <v>66</v>
      </c>
      <c r="E75" s="62">
        <v>0.26740000000000003</v>
      </c>
      <c r="F75" s="62"/>
    </row>
    <row r="76" spans="2:6" x14ac:dyDescent="0.2">
      <c r="B76" s="61">
        <v>43497</v>
      </c>
      <c r="C76" s="61">
        <v>43524</v>
      </c>
      <c r="D76" s="26">
        <v>67</v>
      </c>
      <c r="E76" s="62">
        <v>0.27550000000000002</v>
      </c>
      <c r="F76" s="62"/>
    </row>
    <row r="77" spans="2:6" x14ac:dyDescent="0.2">
      <c r="B77" s="61">
        <v>43525</v>
      </c>
      <c r="C77" s="61">
        <v>43555</v>
      </c>
      <c r="D77" s="26">
        <v>68</v>
      </c>
      <c r="E77" s="62">
        <v>0.27060000000000001</v>
      </c>
      <c r="F77" s="62"/>
    </row>
    <row r="78" spans="2:6" x14ac:dyDescent="0.2">
      <c r="B78" s="61">
        <v>43556</v>
      </c>
      <c r="C78" s="61">
        <v>43585</v>
      </c>
      <c r="D78" s="26">
        <v>69</v>
      </c>
      <c r="E78" s="62">
        <v>0.26979999999999998</v>
      </c>
      <c r="F78" s="62"/>
    </row>
    <row r="79" spans="2:6" x14ac:dyDescent="0.2">
      <c r="B79" s="61">
        <v>43586</v>
      </c>
      <c r="C79" s="61">
        <v>43616</v>
      </c>
      <c r="D79" s="26">
        <v>70</v>
      </c>
      <c r="E79" s="62">
        <v>0.27010000000000001</v>
      </c>
      <c r="F79" s="62"/>
    </row>
    <row r="80" spans="2:6" x14ac:dyDescent="0.2">
      <c r="B80" s="61">
        <v>43617</v>
      </c>
      <c r="C80" s="61">
        <v>43646</v>
      </c>
      <c r="D80" s="26">
        <v>71</v>
      </c>
      <c r="E80" s="62">
        <v>0.26950000000000002</v>
      </c>
      <c r="F80" s="62"/>
    </row>
    <row r="81" spans="2:6" x14ac:dyDescent="0.2">
      <c r="B81" s="61">
        <v>43647</v>
      </c>
      <c r="C81" s="61">
        <v>43677</v>
      </c>
      <c r="D81" s="26">
        <v>72</v>
      </c>
      <c r="E81" s="62">
        <v>0.26919999999999999</v>
      </c>
      <c r="F81" s="62"/>
    </row>
    <row r="82" spans="2:6" x14ac:dyDescent="0.2">
      <c r="B82" s="61">
        <v>43678</v>
      </c>
      <c r="C82" s="61">
        <v>43708</v>
      </c>
      <c r="D82" s="26">
        <v>73</v>
      </c>
      <c r="E82" s="62">
        <v>0.26979999999999998</v>
      </c>
      <c r="F82" s="62"/>
    </row>
    <row r="83" spans="2:6" x14ac:dyDescent="0.2">
      <c r="B83" s="61">
        <v>43709</v>
      </c>
      <c r="C83" s="61">
        <v>43738</v>
      </c>
      <c r="D83" s="26">
        <v>74</v>
      </c>
      <c r="E83" s="62">
        <v>0.26979999999999998</v>
      </c>
      <c r="F83" s="62"/>
    </row>
    <row r="84" spans="2:6" x14ac:dyDescent="0.2">
      <c r="B84" s="61">
        <v>43739</v>
      </c>
      <c r="C84" s="61">
        <v>43769</v>
      </c>
      <c r="D84" s="26">
        <v>75</v>
      </c>
      <c r="E84" s="62">
        <v>0.26650000000000001</v>
      </c>
      <c r="F84" s="62"/>
    </row>
    <row r="85" spans="2:6" x14ac:dyDescent="0.2">
      <c r="B85" s="61">
        <v>43770</v>
      </c>
      <c r="C85" s="61">
        <v>43799</v>
      </c>
      <c r="D85" s="26">
        <v>76</v>
      </c>
      <c r="E85" s="62">
        <v>0.26550000000000001</v>
      </c>
      <c r="F85" s="62"/>
    </row>
    <row r="86" spans="2:6" x14ac:dyDescent="0.2">
      <c r="B86" s="61">
        <v>43800</v>
      </c>
      <c r="C86" s="61">
        <v>43830</v>
      </c>
      <c r="D86" s="26">
        <v>77</v>
      </c>
      <c r="E86" s="62">
        <v>0.26369999999999999</v>
      </c>
      <c r="F86" s="62"/>
    </row>
    <row r="87" spans="2:6" x14ac:dyDescent="0.2">
      <c r="B87" s="61">
        <v>43831</v>
      </c>
      <c r="C87" s="61">
        <v>43861</v>
      </c>
      <c r="D87" s="26">
        <v>78</v>
      </c>
      <c r="E87" s="62">
        <v>0.2616</v>
      </c>
      <c r="F87" s="62"/>
    </row>
    <row r="88" spans="2:6" x14ac:dyDescent="0.2">
      <c r="B88" s="61">
        <v>43862</v>
      </c>
      <c r="C88" s="61">
        <v>43890</v>
      </c>
      <c r="D88" s="26">
        <v>79</v>
      </c>
      <c r="E88" s="62">
        <v>0.26590000000000003</v>
      </c>
      <c r="F88" s="62"/>
    </row>
    <row r="89" spans="2:6" x14ac:dyDescent="0.2">
      <c r="B89" s="61">
        <v>43891</v>
      </c>
      <c r="C89" s="61">
        <v>43921</v>
      </c>
      <c r="D89" s="26">
        <v>80</v>
      </c>
      <c r="E89" s="62">
        <v>0.26429999999999998</v>
      </c>
      <c r="F89" s="62"/>
    </row>
    <row r="90" spans="2:6" x14ac:dyDescent="0.2">
      <c r="B90" s="61">
        <v>43922</v>
      </c>
      <c r="C90" s="61">
        <v>43951</v>
      </c>
      <c r="D90" s="26">
        <v>81</v>
      </c>
      <c r="E90" s="62">
        <v>0.26040000000000002</v>
      </c>
      <c r="F90" s="62"/>
    </row>
    <row r="91" spans="2:6" x14ac:dyDescent="0.2">
      <c r="B91" s="61">
        <v>43952</v>
      </c>
      <c r="C91" s="61">
        <v>43982</v>
      </c>
      <c r="D91" s="26">
        <v>82</v>
      </c>
      <c r="E91" s="62">
        <v>0.25290000000000001</v>
      </c>
      <c r="F91" s="62">
        <v>0.18190000000000001</v>
      </c>
    </row>
    <row r="92" spans="2:6" x14ac:dyDescent="0.2">
      <c r="B92" s="61">
        <v>43983</v>
      </c>
      <c r="C92" s="61">
        <v>44012</v>
      </c>
      <c r="D92" s="26">
        <v>83</v>
      </c>
      <c r="E92" s="62">
        <v>0.25180000000000002</v>
      </c>
      <c r="F92" s="62">
        <v>0.1812</v>
      </c>
    </row>
    <row r="93" spans="2:6" x14ac:dyDescent="0.2">
      <c r="B93" s="61">
        <v>44013</v>
      </c>
      <c r="C93" s="61">
        <v>44043</v>
      </c>
      <c r="D93" s="26">
        <v>84</v>
      </c>
      <c r="E93" s="62">
        <v>0.25180000000000002</v>
      </c>
      <c r="F93" s="62">
        <v>0.1812</v>
      </c>
    </row>
    <row r="94" spans="2:6" x14ac:dyDescent="0.2">
      <c r="B94" s="61">
        <v>44044</v>
      </c>
      <c r="C94" s="61">
        <v>44074</v>
      </c>
      <c r="D94" s="26">
        <v>85</v>
      </c>
      <c r="E94" s="62">
        <v>0.25440000000000002</v>
      </c>
      <c r="F94" s="62">
        <v>0.18290000000000001</v>
      </c>
    </row>
    <row r="95" spans="2:6" x14ac:dyDescent="0.2">
      <c r="B95" s="61">
        <v>44075</v>
      </c>
      <c r="C95" s="61">
        <v>44104</v>
      </c>
      <c r="D95" s="26">
        <v>86</v>
      </c>
      <c r="E95" s="62">
        <v>0.25530000000000003</v>
      </c>
      <c r="F95" s="62">
        <v>0.1835</v>
      </c>
    </row>
    <row r="96" spans="2:6" x14ac:dyDescent="0.2">
      <c r="B96" s="61">
        <v>44105</v>
      </c>
      <c r="C96" s="61">
        <v>44135</v>
      </c>
      <c r="D96" s="26">
        <v>87</v>
      </c>
      <c r="E96" s="62">
        <v>0.25140000000000001</v>
      </c>
      <c r="F96" s="62">
        <v>0.18090000000000001</v>
      </c>
    </row>
    <row r="97" spans="2:6" x14ac:dyDescent="0.2">
      <c r="B97" s="61">
        <v>44136</v>
      </c>
      <c r="C97" s="61">
        <v>44165</v>
      </c>
      <c r="D97" s="26">
        <v>88</v>
      </c>
      <c r="E97" s="62">
        <v>0.24759999999999999</v>
      </c>
      <c r="F97" s="62">
        <v>0.1784</v>
      </c>
    </row>
    <row r="98" spans="2:6" x14ac:dyDescent="0.2">
      <c r="B98" s="61">
        <v>44166</v>
      </c>
      <c r="C98" s="61">
        <v>44196</v>
      </c>
      <c r="D98" s="26">
        <v>89</v>
      </c>
      <c r="E98" s="62">
        <v>0.2419</v>
      </c>
      <c r="F98" s="62"/>
    </row>
    <row r="99" spans="2:6" x14ac:dyDescent="0.2">
      <c r="B99" s="61">
        <v>44197</v>
      </c>
      <c r="C99" s="61">
        <v>44227</v>
      </c>
      <c r="D99" s="26">
        <v>90</v>
      </c>
      <c r="E99" s="62">
        <v>0.23980000000000001</v>
      </c>
      <c r="F99" s="62"/>
    </row>
    <row r="100" spans="2:6" x14ac:dyDescent="0.2">
      <c r="B100" s="61">
        <v>44228</v>
      </c>
      <c r="C100" s="61">
        <v>44255</v>
      </c>
      <c r="D100" s="26">
        <v>91</v>
      </c>
      <c r="E100" s="62">
        <v>0.24310000000000001</v>
      </c>
      <c r="F100" s="62"/>
    </row>
    <row r="101" spans="2:6" x14ac:dyDescent="0.2">
      <c r="B101" s="61">
        <v>44256</v>
      </c>
      <c r="C101" s="61">
        <v>44286</v>
      </c>
      <c r="D101" s="26">
        <v>92</v>
      </c>
      <c r="E101" s="62">
        <v>0.2412</v>
      </c>
      <c r="F101" s="62"/>
    </row>
    <row r="102" spans="2:6" x14ac:dyDescent="0.2">
      <c r="B102" s="61">
        <v>44287</v>
      </c>
      <c r="C102" s="61">
        <v>44316</v>
      </c>
      <c r="D102" s="26">
        <v>93</v>
      </c>
      <c r="E102" s="62">
        <v>0.2397</v>
      </c>
      <c r="F102" s="62"/>
    </row>
    <row r="103" spans="2:6" x14ac:dyDescent="0.2">
      <c r="B103" s="61">
        <v>44317</v>
      </c>
      <c r="C103" s="61">
        <v>44347</v>
      </c>
      <c r="D103" s="26">
        <v>94</v>
      </c>
      <c r="E103" s="62">
        <v>0.23830000000000001</v>
      </c>
      <c r="F103" s="62"/>
    </row>
    <row r="104" spans="2:6" x14ac:dyDescent="0.2">
      <c r="B104" s="61">
        <v>44348</v>
      </c>
      <c r="C104" s="61">
        <v>44377</v>
      </c>
      <c r="D104" s="26">
        <v>95</v>
      </c>
      <c r="E104" s="62">
        <v>0.2382</v>
      </c>
      <c r="F104" s="62"/>
    </row>
    <row r="105" spans="2:6" x14ac:dyDescent="0.2">
      <c r="B105" s="61">
        <v>44378</v>
      </c>
      <c r="C105" s="61">
        <v>44408</v>
      </c>
      <c r="D105" s="26">
        <v>96</v>
      </c>
      <c r="E105" s="62">
        <v>0.23769999999999999</v>
      </c>
      <c r="F105" s="62"/>
    </row>
    <row r="106" spans="2:6" x14ac:dyDescent="0.2">
      <c r="B106" s="61">
        <v>44409</v>
      </c>
      <c r="C106" s="61">
        <v>44439</v>
      </c>
      <c r="D106" s="26">
        <v>97</v>
      </c>
      <c r="E106" s="62">
        <v>0.23860000000000001</v>
      </c>
      <c r="F106" s="62"/>
    </row>
    <row r="107" spans="2:6" x14ac:dyDescent="0.2">
      <c r="B107" s="61">
        <v>44440</v>
      </c>
      <c r="C107" s="61">
        <v>44452</v>
      </c>
      <c r="D107" s="26">
        <v>98</v>
      </c>
      <c r="E107" s="62">
        <v>0.2379</v>
      </c>
      <c r="F107" s="62"/>
    </row>
    <row r="108" spans="2:6" x14ac:dyDescent="0.2">
      <c r="B108" s="61">
        <v>44453</v>
      </c>
      <c r="C108" s="61">
        <v>44469</v>
      </c>
      <c r="D108" s="26">
        <v>99</v>
      </c>
      <c r="E108" s="62">
        <v>0.2379</v>
      </c>
      <c r="F108" s="62">
        <v>0.1719</v>
      </c>
    </row>
    <row r="109" spans="2:6" x14ac:dyDescent="0.2">
      <c r="B109" s="61">
        <v>44470</v>
      </c>
      <c r="C109" s="61">
        <v>44500</v>
      </c>
      <c r="D109" s="26">
        <v>100</v>
      </c>
      <c r="E109" s="62">
        <v>0.23619999999999999</v>
      </c>
      <c r="F109" s="62">
        <v>0.17080000000000001</v>
      </c>
    </row>
    <row r="110" spans="2:6" x14ac:dyDescent="0.2">
      <c r="B110" s="61">
        <v>44501</v>
      </c>
      <c r="C110" s="61">
        <v>44530</v>
      </c>
      <c r="D110" s="26">
        <v>101</v>
      </c>
      <c r="E110" s="62">
        <v>0.23910000000000001</v>
      </c>
      <c r="F110" s="62">
        <v>0.17269999999999999</v>
      </c>
    </row>
    <row r="111" spans="2:6" x14ac:dyDescent="0.2">
      <c r="B111" s="61">
        <v>44531</v>
      </c>
      <c r="C111" s="61">
        <v>44561</v>
      </c>
      <c r="D111" s="26">
        <v>102</v>
      </c>
      <c r="E111" s="62">
        <v>0.2419</v>
      </c>
      <c r="F111" s="62">
        <v>0.17460000000000001</v>
      </c>
    </row>
    <row r="112" spans="2:6" x14ac:dyDescent="0.2">
      <c r="B112" s="61">
        <v>44562</v>
      </c>
      <c r="C112" s="61">
        <v>44592</v>
      </c>
      <c r="D112" s="26">
        <v>103</v>
      </c>
      <c r="E112" s="62">
        <v>0.24490000000000001</v>
      </c>
      <c r="F112" s="62">
        <v>0.17660000000000001</v>
      </c>
    </row>
    <row r="113" spans="2:6" x14ac:dyDescent="0.2">
      <c r="B113" s="61">
        <v>44593</v>
      </c>
      <c r="C113" s="61">
        <v>44620</v>
      </c>
      <c r="D113" s="26">
        <v>104</v>
      </c>
      <c r="E113" s="62">
        <v>0.2545</v>
      </c>
      <c r="F113" s="62">
        <v>0.183</v>
      </c>
    </row>
    <row r="114" spans="2:6" x14ac:dyDescent="0.2">
      <c r="B114" s="61">
        <v>44621</v>
      </c>
      <c r="C114" s="61">
        <v>44651</v>
      </c>
      <c r="D114" s="26">
        <v>105</v>
      </c>
      <c r="E114" s="62">
        <v>0.2571</v>
      </c>
      <c r="F114" s="62">
        <v>0.1847</v>
      </c>
    </row>
    <row r="115" spans="2:6" x14ac:dyDescent="0.2">
      <c r="B115" s="61">
        <v>44652</v>
      </c>
      <c r="C115" s="61">
        <v>44681</v>
      </c>
      <c r="D115" s="26">
        <v>106</v>
      </c>
      <c r="E115" s="62">
        <v>0.26579999999999998</v>
      </c>
      <c r="F115" s="62">
        <v>0.1905</v>
      </c>
    </row>
    <row r="116" spans="2:6" x14ac:dyDescent="0.2">
      <c r="B116" s="61">
        <v>44682</v>
      </c>
      <c r="C116" s="61">
        <v>44712</v>
      </c>
      <c r="D116" s="26">
        <v>107</v>
      </c>
      <c r="E116" s="62">
        <v>0.2757</v>
      </c>
      <c r="F116" s="62">
        <v>0.1971</v>
      </c>
    </row>
    <row r="117" spans="2:6" x14ac:dyDescent="0.2">
      <c r="B117" s="61">
        <v>44713</v>
      </c>
      <c r="C117" s="61">
        <v>44742</v>
      </c>
      <c r="D117" s="26">
        <v>108</v>
      </c>
      <c r="E117" s="62">
        <v>0.28599999999999998</v>
      </c>
      <c r="F117" s="62">
        <v>0.20399999999999999</v>
      </c>
    </row>
    <row r="118" spans="2:6" x14ac:dyDescent="0.2">
      <c r="B118" s="61">
        <v>44743</v>
      </c>
      <c r="C118" s="61">
        <v>44773</v>
      </c>
      <c r="D118" s="26">
        <v>109</v>
      </c>
      <c r="E118" s="62">
        <v>0.29920000000000002</v>
      </c>
      <c r="F118" s="62">
        <v>0.21279999999999999</v>
      </c>
    </row>
    <row r="119" spans="2:6" x14ac:dyDescent="0.2">
      <c r="B119" s="61">
        <v>44774</v>
      </c>
      <c r="C119" s="61">
        <v>44804</v>
      </c>
      <c r="D119" s="26">
        <v>110</v>
      </c>
      <c r="E119" s="62">
        <v>0.31319999999999998</v>
      </c>
      <c r="F119" s="62">
        <v>0.22209999999999999</v>
      </c>
    </row>
    <row r="120" spans="2:6" x14ac:dyDescent="0.2">
      <c r="B120" s="61">
        <v>44805</v>
      </c>
      <c r="C120" s="61">
        <v>44834</v>
      </c>
      <c r="D120" s="26">
        <v>111</v>
      </c>
      <c r="E120" s="62">
        <v>0.33250000000000002</v>
      </c>
      <c r="F120" s="62">
        <v>0.23499999999999999</v>
      </c>
    </row>
    <row r="121" spans="2:6" x14ac:dyDescent="0.2">
      <c r="B121" s="61">
        <v>44835</v>
      </c>
      <c r="C121" s="61">
        <v>44865</v>
      </c>
      <c r="D121" s="26">
        <v>112</v>
      </c>
      <c r="E121" s="62">
        <v>0.34920000000000001</v>
      </c>
      <c r="F121" s="62">
        <v>0.24610000000000001</v>
      </c>
    </row>
    <row r="122" spans="2:6" x14ac:dyDescent="0.2">
      <c r="B122" s="61">
        <v>44866</v>
      </c>
      <c r="C122" s="61">
        <v>44895</v>
      </c>
      <c r="D122" s="26">
        <v>113</v>
      </c>
      <c r="E122" s="62">
        <v>0.36670000000000003</v>
      </c>
      <c r="F122" s="62">
        <v>0.25779999999999997</v>
      </c>
    </row>
    <row r="123" spans="2:6" x14ac:dyDescent="0.2">
      <c r="B123" s="61">
        <v>44896</v>
      </c>
      <c r="C123" s="61">
        <v>44926</v>
      </c>
      <c r="D123" s="26">
        <v>114</v>
      </c>
      <c r="E123" s="62">
        <v>0.39460000000000001</v>
      </c>
      <c r="F123" s="62">
        <v>0.27639999999999998</v>
      </c>
    </row>
    <row r="124" spans="2:6" x14ac:dyDescent="0.2">
      <c r="B124" s="61">
        <v>44927</v>
      </c>
      <c r="C124" s="61">
        <v>44957</v>
      </c>
      <c r="D124" s="26">
        <v>115</v>
      </c>
      <c r="E124" s="62">
        <v>0.41260000000000002</v>
      </c>
      <c r="F124" s="62">
        <v>0.28839999999999999</v>
      </c>
    </row>
    <row r="125" spans="2:6" x14ac:dyDescent="0.2">
      <c r="B125" s="61">
        <v>44958</v>
      </c>
      <c r="C125" s="61">
        <v>44985</v>
      </c>
      <c r="D125" s="26">
        <v>116</v>
      </c>
      <c r="E125" s="62">
        <v>0.43269999999999997</v>
      </c>
      <c r="F125" s="62">
        <v>0.30180000000000001</v>
      </c>
    </row>
    <row r="126" spans="2:6" x14ac:dyDescent="0.2">
      <c r="B126" s="61">
        <v>44986</v>
      </c>
      <c r="C126" s="61">
        <v>45016</v>
      </c>
      <c r="D126" s="26">
        <v>117</v>
      </c>
      <c r="E126" s="62">
        <v>0.44259999999999999</v>
      </c>
      <c r="F126" s="62">
        <v>0.30840000000000001</v>
      </c>
    </row>
    <row r="127" spans="2:6" x14ac:dyDescent="0.2">
      <c r="B127" s="61">
        <v>45017</v>
      </c>
      <c r="C127" s="61">
        <v>45046</v>
      </c>
      <c r="D127" s="26">
        <v>118</v>
      </c>
      <c r="E127" s="62">
        <v>0.45090000000000002</v>
      </c>
      <c r="F127" s="62">
        <v>0.31390000000000001</v>
      </c>
    </row>
    <row r="128" spans="2:6" x14ac:dyDescent="0.2">
      <c r="B128" s="61">
        <v>45047</v>
      </c>
      <c r="C128" s="61">
        <v>45077</v>
      </c>
      <c r="D128" s="26">
        <v>119</v>
      </c>
      <c r="E128" s="62">
        <v>0.43409999999999999</v>
      </c>
      <c r="F128" s="62">
        <v>0.30270000000000002</v>
      </c>
    </row>
    <row r="129" spans="2:6" x14ac:dyDescent="0.2">
      <c r="B129" s="61">
        <v>45078</v>
      </c>
      <c r="C129" s="61">
        <v>45107</v>
      </c>
      <c r="D129" s="26">
        <v>120</v>
      </c>
      <c r="E129" s="62">
        <v>0.4264</v>
      </c>
      <c r="F129" s="62">
        <v>0.29759999999999998</v>
      </c>
    </row>
    <row r="130" spans="2:6" x14ac:dyDescent="0.2">
      <c r="B130" s="61">
        <v>45108</v>
      </c>
      <c r="C130" s="61">
        <v>45138</v>
      </c>
      <c r="D130" s="26">
        <v>121</v>
      </c>
      <c r="E130" s="62">
        <v>0.4204</v>
      </c>
      <c r="F130" s="62">
        <v>0.29360000000000003</v>
      </c>
    </row>
    <row r="131" spans="2:6" x14ac:dyDescent="0.2">
      <c r="B131" s="61">
        <v>45139</v>
      </c>
      <c r="C131" s="61">
        <v>45169</v>
      </c>
      <c r="D131" s="26">
        <v>122</v>
      </c>
      <c r="E131" s="62">
        <v>0.4113</v>
      </c>
      <c r="F131" s="62">
        <v>0.28749999999999998</v>
      </c>
    </row>
    <row r="132" spans="2:6" x14ac:dyDescent="0.2">
      <c r="B132" s="61">
        <v>45170</v>
      </c>
      <c r="C132" s="61">
        <v>45199</v>
      </c>
      <c r="D132" s="26">
        <v>123</v>
      </c>
      <c r="E132" s="62">
        <v>0.40050000000000002</v>
      </c>
      <c r="F132" s="62">
        <v>0.28029999999999999</v>
      </c>
    </row>
    <row r="133" spans="2:6" x14ac:dyDescent="0.2">
      <c r="B133" s="61">
        <v>45200</v>
      </c>
      <c r="C133" s="61">
        <v>45230</v>
      </c>
      <c r="D133" s="26">
        <v>124</v>
      </c>
      <c r="E133" s="62">
        <v>0.378</v>
      </c>
      <c r="F133" s="62">
        <v>0.26529999999999998</v>
      </c>
    </row>
    <row r="134" spans="2:6" x14ac:dyDescent="0.2">
      <c r="B134" s="61">
        <v>45231</v>
      </c>
      <c r="C134" s="61">
        <v>45260</v>
      </c>
      <c r="D134" s="26">
        <v>125</v>
      </c>
      <c r="E134" s="62">
        <v>0.36280000000000001</v>
      </c>
      <c r="F134" s="62">
        <v>0.25519999999999998</v>
      </c>
    </row>
    <row r="135" spans="2:6" x14ac:dyDescent="0.2">
      <c r="B135" s="61">
        <v>45261</v>
      </c>
      <c r="C135" s="61">
        <v>45291</v>
      </c>
      <c r="D135" s="26">
        <v>126</v>
      </c>
      <c r="E135" s="62">
        <v>0.35560000000000003</v>
      </c>
      <c r="F135" s="62">
        <v>0.25040000000000001</v>
      </c>
    </row>
    <row r="136" spans="2:6" x14ac:dyDescent="0.2">
      <c r="B136" s="61">
        <v>45292</v>
      </c>
      <c r="C136" s="61">
        <v>45322</v>
      </c>
      <c r="D136" s="26">
        <v>127</v>
      </c>
      <c r="E136" s="62">
        <v>0.32979999999999998</v>
      </c>
      <c r="F136" s="62">
        <v>0.23319999999999999</v>
      </c>
    </row>
    <row r="137" spans="2:6" x14ac:dyDescent="0.2">
      <c r="B137" s="61">
        <v>45323</v>
      </c>
      <c r="C137" s="61">
        <v>45351</v>
      </c>
      <c r="D137" s="26">
        <v>128</v>
      </c>
      <c r="E137" s="62">
        <v>0.32969999999999999</v>
      </c>
      <c r="F137" s="62">
        <v>0.2331</v>
      </c>
    </row>
    <row r="138" spans="2:6" x14ac:dyDescent="0.2">
      <c r="B138" s="61">
        <v>45352</v>
      </c>
      <c r="C138" s="61">
        <v>45382</v>
      </c>
      <c r="D138" s="26">
        <v>129</v>
      </c>
      <c r="E138" s="62">
        <v>0.313</v>
      </c>
      <c r="F138" s="62">
        <v>0.222</v>
      </c>
    </row>
    <row r="139" spans="2:6" x14ac:dyDescent="0.2">
      <c r="B139" s="61">
        <v>45383</v>
      </c>
      <c r="C139" s="61">
        <v>45412</v>
      </c>
      <c r="D139" s="26">
        <v>130</v>
      </c>
      <c r="E139" s="62">
        <v>0.31090000000000001</v>
      </c>
      <c r="F139" s="62">
        <v>0.22059999999999999</v>
      </c>
    </row>
    <row r="140" spans="2:6" x14ac:dyDescent="0.2">
      <c r="B140" s="61">
        <v>45413</v>
      </c>
      <c r="C140" s="61">
        <v>45443</v>
      </c>
      <c r="D140" s="26">
        <v>131</v>
      </c>
      <c r="E140" s="62">
        <v>0.29530000000000001</v>
      </c>
      <c r="F140" s="62">
        <v>0.2102</v>
      </c>
    </row>
    <row r="141" spans="2:6" x14ac:dyDescent="0.2">
      <c r="B141" s="61">
        <v>45444</v>
      </c>
      <c r="C141" s="61">
        <v>45473</v>
      </c>
      <c r="D141" s="26">
        <v>132</v>
      </c>
      <c r="E141" s="62">
        <v>0.28839999999999999</v>
      </c>
      <c r="F141" s="62">
        <v>0.2056</v>
      </c>
    </row>
    <row r="142" spans="2:6" x14ac:dyDescent="0.2">
      <c r="B142" s="61">
        <v>45474</v>
      </c>
      <c r="C142" s="61">
        <v>45504</v>
      </c>
      <c r="D142" s="26">
        <v>133</v>
      </c>
      <c r="E142" s="62">
        <v>0.27489999999999998</v>
      </c>
      <c r="F142" s="62">
        <v>0.1966</v>
      </c>
    </row>
    <row r="143" spans="2:6" x14ac:dyDescent="0.2">
      <c r="B143" s="61">
        <v>45505</v>
      </c>
      <c r="C143" s="61">
        <v>45535</v>
      </c>
      <c r="D143" s="26">
        <v>134</v>
      </c>
      <c r="E143" s="62">
        <v>0.27210000000000001</v>
      </c>
      <c r="F143" s="62">
        <v>0.19470000000000001</v>
      </c>
    </row>
    <row r="144" spans="2:6" x14ac:dyDescent="0.2">
      <c r="B144" s="61">
        <v>45536</v>
      </c>
      <c r="C144" s="61">
        <v>45565</v>
      </c>
      <c r="D144" s="26">
        <v>135</v>
      </c>
      <c r="E144" s="62">
        <v>0.26850000000000002</v>
      </c>
      <c r="F144" s="62">
        <v>0.1923</v>
      </c>
    </row>
    <row r="145" spans="2:6" x14ac:dyDescent="0.2">
      <c r="B145" s="61">
        <v>45566</v>
      </c>
      <c r="C145" s="61">
        <v>45596</v>
      </c>
      <c r="D145" s="26">
        <v>136</v>
      </c>
      <c r="E145" s="62">
        <v>0.26169999999999999</v>
      </c>
      <c r="F145" s="62">
        <v>0.18779999999999999</v>
      </c>
    </row>
    <row r="146" spans="2:6" x14ac:dyDescent="0.2">
      <c r="B146" s="61">
        <v>45597</v>
      </c>
      <c r="C146" s="61">
        <v>45626</v>
      </c>
      <c r="D146" s="26">
        <v>137</v>
      </c>
      <c r="E146" s="62">
        <v>0.25900000000000001</v>
      </c>
      <c r="F146" s="62">
        <v>0.186</v>
      </c>
    </row>
    <row r="147" spans="2:6" x14ac:dyDescent="0.2">
      <c r="B147" s="61">
        <v>45627</v>
      </c>
      <c r="C147" s="61">
        <v>45657</v>
      </c>
      <c r="D147" s="26">
        <v>138</v>
      </c>
      <c r="E147" s="62">
        <v>0.24390000000000001</v>
      </c>
      <c r="F147" s="62">
        <v>0.1759</v>
      </c>
    </row>
    <row r="148" spans="2:6" x14ac:dyDescent="0.2">
      <c r="B148" s="61">
        <v>45658</v>
      </c>
      <c r="C148" s="61">
        <v>45688</v>
      </c>
      <c r="D148" s="26">
        <v>139</v>
      </c>
      <c r="E148" s="62">
        <v>0.22889999999999999</v>
      </c>
      <c r="F148" s="62">
        <v>0.16589999999999999</v>
      </c>
    </row>
    <row r="149" spans="2:6" x14ac:dyDescent="0.2">
      <c r="B149" s="61">
        <v>45689</v>
      </c>
      <c r="C149" s="61">
        <v>45716</v>
      </c>
      <c r="D149" s="26">
        <v>140</v>
      </c>
      <c r="E149" s="62">
        <v>0.24299999999999999</v>
      </c>
      <c r="F149" s="62">
        <v>0.17530000000000001</v>
      </c>
    </row>
    <row r="150" spans="2:6" x14ac:dyDescent="0.2">
      <c r="B150" s="61">
        <v>45717</v>
      </c>
      <c r="C150" s="61">
        <v>45747</v>
      </c>
      <c r="D150" s="26">
        <v>141</v>
      </c>
      <c r="E150" s="62">
        <v>0.22919999999999999</v>
      </c>
      <c r="F150" s="62">
        <v>0.1661</v>
      </c>
    </row>
    <row r="151" spans="2:6" x14ac:dyDescent="0.2">
      <c r="B151" s="61">
        <v>45748</v>
      </c>
      <c r="C151" s="61">
        <v>45777</v>
      </c>
      <c r="D151" s="26">
        <v>142</v>
      </c>
      <c r="E151" s="62">
        <v>0.23619999999999999</v>
      </c>
      <c r="F151" s="62">
        <v>0.17080000000000001</v>
      </c>
    </row>
    <row r="152" spans="2:6" x14ac:dyDescent="0.2">
      <c r="B152" s="61">
        <v>45778</v>
      </c>
      <c r="C152" s="61">
        <v>45808</v>
      </c>
      <c r="D152" s="26">
        <v>143</v>
      </c>
      <c r="E152" s="62">
        <v>0.2397</v>
      </c>
      <c r="F152" s="62">
        <v>0.1731</v>
      </c>
    </row>
    <row r="153" spans="2:6" x14ac:dyDescent="0.2">
      <c r="B153" s="61">
        <v>45809</v>
      </c>
      <c r="C153" s="61">
        <v>45838</v>
      </c>
      <c r="D153" s="26">
        <v>144</v>
      </c>
      <c r="E153" s="62">
        <v>0.23549999999999999</v>
      </c>
      <c r="F153" s="62">
        <v>0.17030000000000001</v>
      </c>
    </row>
    <row r="154" spans="2:6" x14ac:dyDescent="0.2">
      <c r="B154" s="61">
        <v>45839</v>
      </c>
      <c r="C154" s="61">
        <v>45869</v>
      </c>
      <c r="D154" s="26">
        <v>145</v>
      </c>
      <c r="E154" s="62">
        <v>0.2278</v>
      </c>
      <c r="F154" s="62">
        <v>0.16520000000000001</v>
      </c>
    </row>
    <row r="155" spans="2:6" x14ac:dyDescent="0.2">
      <c r="B155" s="61">
        <v>45870</v>
      </c>
      <c r="C155" s="61">
        <v>45900</v>
      </c>
      <c r="D155" s="26">
        <v>146</v>
      </c>
      <c r="E155" s="62">
        <v>0.23169999999999999</v>
      </c>
      <c r="F155" s="62">
        <v>0.1678</v>
      </c>
    </row>
    <row r="156" spans="2:6" x14ac:dyDescent="0.2">
      <c r="B156" s="61">
        <v>45901</v>
      </c>
      <c r="C156" s="61">
        <v>45930</v>
      </c>
      <c r="D156" s="26">
        <v>147</v>
      </c>
      <c r="E156" s="62">
        <v>0.2301</v>
      </c>
      <c r="F156" s="62">
        <v>0.16669999999999999</v>
      </c>
    </row>
    <row r="157" spans="2:6" x14ac:dyDescent="0.2">
      <c r="B157" s="61">
        <v>45931</v>
      </c>
      <c r="C157" s="61">
        <v>45961</v>
      </c>
      <c r="D157" s="26">
        <v>148</v>
      </c>
      <c r="E157" s="62">
        <v>0.22359999999999999</v>
      </c>
      <c r="F157" s="62">
        <v>0.16239999999999999</v>
      </c>
    </row>
    <row r="158" spans="2:6" x14ac:dyDescent="0.2">
      <c r="B158" s="61">
        <v>45962</v>
      </c>
      <c r="C158" s="61">
        <v>45991</v>
      </c>
      <c r="D158" s="26">
        <v>149</v>
      </c>
      <c r="E158" s="62">
        <v>0.22989999999999999</v>
      </c>
      <c r="F158" s="62">
        <v>0.1666</v>
      </c>
    </row>
    <row r="159" spans="2:6" x14ac:dyDescent="0.2">
      <c r="B159" s="61">
        <v>45992</v>
      </c>
      <c r="C159" s="61">
        <v>46022</v>
      </c>
      <c r="D159" s="26">
        <v>150</v>
      </c>
      <c r="E159" s="62">
        <v>0.23019999999999999</v>
      </c>
      <c r="F159" s="62">
        <v>0.1668</v>
      </c>
    </row>
    <row r="160" spans="2:6" x14ac:dyDescent="0.2">
      <c r="B160" s="61">
        <v>46023</v>
      </c>
      <c r="C160" s="61">
        <v>46053</v>
      </c>
      <c r="D160" s="26">
        <v>151</v>
      </c>
      <c r="E160" s="62">
        <v>0.22359999999999999</v>
      </c>
      <c r="F160" s="62">
        <v>0.16239999999999999</v>
      </c>
    </row>
    <row r="161" spans="2:7" x14ac:dyDescent="0.2">
      <c r="B161" s="61">
        <v>46054</v>
      </c>
      <c r="C161" s="61">
        <v>46081</v>
      </c>
      <c r="D161" s="26">
        <v>152</v>
      </c>
      <c r="E161" s="62">
        <v>0.23230000000000001</v>
      </c>
      <c r="F161" s="62">
        <v>0.16819999999999999</v>
      </c>
    </row>
    <row r="162" spans="2:7" x14ac:dyDescent="0.2">
      <c r="B162" s="61">
        <v>46082</v>
      </c>
      <c r="C162" s="61">
        <v>46112</v>
      </c>
      <c r="D162" s="26">
        <v>153</v>
      </c>
      <c r="E162" s="62">
        <v>0.23519999999999999</v>
      </c>
      <c r="F162" s="62">
        <v>0.1701</v>
      </c>
    </row>
    <row r="163" spans="2:7" x14ac:dyDescent="0.2">
      <c r="B163" s="63"/>
      <c r="C163" s="63"/>
      <c r="D163" s="64"/>
      <c r="E163" s="65"/>
      <c r="F163" s="65"/>
      <c r="G163" s="66" t="s">
        <v>284</v>
      </c>
    </row>
    <row r="165" spans="2:7" ht="30" customHeight="1" x14ac:dyDescent="0.2">
      <c r="B165" s="70" t="s">
        <v>131</v>
      </c>
      <c r="C165" s="68"/>
      <c r="D165" s="68"/>
      <c r="E165" s="68"/>
    </row>
    <row r="166" spans="2:7" x14ac:dyDescent="0.2">
      <c r="B166" s="73" t="s">
        <v>132</v>
      </c>
      <c r="C166" s="68"/>
      <c r="D166" s="68"/>
      <c r="E166" s="68"/>
    </row>
    <row r="167" spans="2:7" ht="22" customHeight="1" x14ac:dyDescent="0.2">
      <c r="B167" s="74" t="s">
        <v>133</v>
      </c>
      <c r="C167" s="68"/>
      <c r="D167" s="68"/>
      <c r="E167" s="68"/>
      <c r="F167" s="68"/>
    </row>
    <row r="168" spans="2:7" x14ac:dyDescent="0.2">
      <c r="B168" s="69" t="s">
        <v>134</v>
      </c>
      <c r="C168" s="68"/>
      <c r="D168" s="68"/>
      <c r="E168" s="68"/>
      <c r="F168" s="68"/>
    </row>
  </sheetData>
  <sheetProtection password="CEF4" sheet="1" objects="1" scenarios="1" formatCells="0" formatColumns="0" formatRows="0" sort="0" autoFilter="0"/>
  <mergeCells count="6">
    <mergeCell ref="B7:F7"/>
    <mergeCell ref="B6:F6"/>
    <mergeCell ref="B166:E166"/>
    <mergeCell ref="B165:E165"/>
    <mergeCell ref="B168:F168"/>
    <mergeCell ref="B167:F167"/>
  </mergeCells>
  <hyperlinks>
    <hyperlink ref="B1" r:id="rId1" xr:uid="{00000000-0004-0000-0700-000000000000}"/>
    <hyperlink ref="E1" r:id="rId2" xr:uid="{00000000-0004-0000-0700-000001000000}"/>
    <hyperlink ref="B166" r:id="rId3" xr:uid="{00000000-0004-0000-0700-000002000000}"/>
    <hyperlink ref="B168" r:id="rId4" xr:uid="{00000000-0004-0000-0700-000003000000}"/>
  </hyperlinks>
  <pageMargins left="0.4" right="0.4" top="0.5" bottom="0.6" header="0.2" footer="0.3"/>
  <pageSetup fitToHeight="0" orientation="portrait"/>
  <headerFooter>
    <oddHeader>&amp;C&amp;"Calibri,Bold"&amp;9 &amp;K0A1628Tasas de Interés Certificadas — SFC</oddHeader>
    <oddFooter>&amp;L&amp;"Calibri"&amp;7 &amp;K6B7280tribai.co | INPLUX S.A.S.&amp;C&amp;"Calibri"&amp;7 &amp;P de &amp;N&amp;R&amp;"Calibri"&amp;7 &amp;K6B7280&amp;D</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MENÚ</vt:lpstr>
      <vt:lpstr>Datos</vt:lpstr>
      <vt:lpstr>1. Extemporaneidad</vt:lpstr>
      <vt:lpstr>2. Corrección</vt:lpstr>
      <vt:lpstr>3. Evasión pasiva</vt:lpstr>
      <vt:lpstr>4. Info. exógena</vt:lpstr>
      <vt:lpstr>5. Intereses</vt:lpstr>
      <vt:lpstr>Tasas</vt:lpstr>
      <vt:lpstr>'1. Extemporaneidad'!Área_de_impresión</vt:lpstr>
      <vt:lpstr>'2. Corrección'!Área_de_impresión</vt:lpstr>
      <vt:lpstr>'3. Evasión pasiva'!Área_de_impresión</vt:lpstr>
      <vt:lpstr>'4. Info. exógena'!Área_de_impresión</vt:lpstr>
      <vt:lpstr>'5. Intereses'!Área_de_impresión</vt:lpstr>
      <vt:lpstr>MENÚ!Área_de_impresión</vt:lpstr>
      <vt:lpstr>Tasas!Área_de_impresión</vt:lpstr>
      <vt:lpstr>'1. Extemporaneidad'!Títulos_a_imprimir</vt:lpstr>
      <vt:lpstr>'2. Corrección'!Títulos_a_imprimir</vt:lpstr>
      <vt:lpstr>'3. Evasión pasiva'!Títulos_a_imprimir</vt:lpstr>
      <vt:lpstr>'4. Info. exógena'!Títulos_a_imprimir</vt:lpstr>
      <vt:lpstr>'5. Intereses'!Títulos_a_imprimir</vt:lpstr>
      <vt:lpstr>MENÚ!Títulos_a_imprimir</vt:lpstr>
      <vt:lpstr>Tasas!Títulos_a_imprimir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JAIME CANO</cp:lastModifiedBy>
  <dcterms:created xsi:type="dcterms:W3CDTF">2026-04-12T04:22:10Z</dcterms:created>
  <dcterms:modified xsi:type="dcterms:W3CDTF">2026-04-12T04:58:54Z</dcterms:modified>
</cp:coreProperties>
</file>